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0\Desktop\JAGODA\FIN IZVJEŠTAJ I IZVRŠENJE FIN.PLANA\2023\IZVRŠENJE FIN. PLANA\IZVRŠENJE FIIN. PLANA 01.01.-31.12.2023\"/>
    </mc:Choice>
  </mc:AlternateContent>
  <bookViews>
    <workbookView xWindow="0" yWindow="0" windowWidth="28800" windowHeight="12030"/>
  </bookViews>
  <sheets>
    <sheet name="SAŽETAK" sheetId="1" r:id="rId1"/>
    <sheet name=" Račun prihoda i rashoda-ekon.k" sheetId="3" r:id="rId2"/>
    <sheet name="Rashodi prema izvorima finan" sheetId="5" r:id="rId3"/>
    <sheet name="POSEBNI DIO-ekon.kl.i izvori" sheetId="7" r:id="rId4"/>
  </sheets>
  <definedNames>
    <definedName name="_xlnm.Print_Area" localSheetId="1">' Račun prihoda i rashoda-ekon.k'!$B$2:$L$88</definedName>
    <definedName name="_xlnm.Print_Area" localSheetId="3">'POSEBNI DIO-ekon.kl.i izvori'!$A$1:$I$284</definedName>
    <definedName name="_xlnm.Print_Area" localSheetId="0">SAŽETAK!$B$1:$I$30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20" i="5"/>
  <c r="J28" i="3"/>
  <c r="G12" i="5"/>
  <c r="H12" i="5"/>
  <c r="I18" i="1"/>
  <c r="I15" i="1"/>
  <c r="I19" i="1" s="1"/>
  <c r="L25" i="3" l="1"/>
  <c r="K88" i="3"/>
  <c r="K87" i="3"/>
  <c r="K86" i="3"/>
  <c r="K85" i="3"/>
  <c r="K84" i="3"/>
  <c r="K83" i="3"/>
  <c r="K82" i="3"/>
  <c r="K81" i="3"/>
  <c r="K80" i="3"/>
  <c r="K73" i="3"/>
  <c r="K71" i="3"/>
  <c r="K70" i="3"/>
  <c r="K69" i="3"/>
  <c r="K66" i="3"/>
  <c r="K63" i="3"/>
  <c r="K62" i="3"/>
  <c r="K61" i="3"/>
  <c r="K60" i="3"/>
  <c r="K58" i="3"/>
  <c r="K57" i="3"/>
  <c r="K56" i="3"/>
  <c r="K55" i="3"/>
  <c r="K53" i="3"/>
  <c r="K52" i="3"/>
  <c r="K51" i="3"/>
  <c r="K50" i="3"/>
  <c r="K49" i="3"/>
  <c r="K48" i="3"/>
  <c r="K46" i="3"/>
  <c r="K45" i="3"/>
  <c r="K44" i="3"/>
  <c r="K41" i="3"/>
  <c r="K40" i="3"/>
  <c r="K39" i="3"/>
  <c r="K38" i="3"/>
  <c r="K37" i="3"/>
  <c r="K36" i="3"/>
  <c r="K27" i="3"/>
  <c r="K23" i="3"/>
  <c r="K22" i="3"/>
  <c r="K20" i="3"/>
  <c r="K19" i="3"/>
  <c r="K18" i="3"/>
  <c r="K17" i="3"/>
  <c r="K16" i="3"/>
  <c r="K15" i="3"/>
  <c r="K13" i="3"/>
  <c r="G30" i="5"/>
  <c r="G29" i="5"/>
  <c r="G28" i="5"/>
  <c r="G26" i="5"/>
  <c r="G25" i="5"/>
  <c r="G24" i="5"/>
  <c r="G22" i="5"/>
  <c r="G21" i="5"/>
  <c r="G17" i="5"/>
  <c r="G16" i="5"/>
  <c r="G11" i="5"/>
  <c r="G9" i="5"/>
  <c r="G8" i="5"/>
  <c r="H17" i="5"/>
  <c r="H16" i="5"/>
  <c r="E7" i="5"/>
  <c r="E20" i="5" s="1"/>
  <c r="G28" i="3"/>
  <c r="K28" i="3" s="1"/>
  <c r="G33" i="3"/>
  <c r="H78" i="3" l="1"/>
  <c r="H82" i="3"/>
  <c r="H64" i="3"/>
  <c r="H36" i="3"/>
  <c r="H38" i="3"/>
  <c r="H40" i="3"/>
  <c r="H49" i="3"/>
  <c r="H45" i="3"/>
  <c r="H43" i="3" s="1"/>
  <c r="H41" i="3"/>
  <c r="H39" i="3"/>
  <c r="H37" i="3"/>
  <c r="H83" i="3"/>
  <c r="H63" i="3"/>
  <c r="H58" i="3"/>
  <c r="H50" i="3"/>
  <c r="H13" i="3"/>
  <c r="H12" i="3" s="1"/>
  <c r="H9" i="3" s="1"/>
  <c r="H8" i="3" s="1"/>
  <c r="D28" i="5"/>
  <c r="D32" i="5" s="1"/>
  <c r="D15" i="5"/>
  <c r="D7" i="5" s="1"/>
  <c r="D20" i="5" s="1"/>
  <c r="H8" i="5"/>
  <c r="D274" i="7"/>
  <c r="D244" i="7"/>
  <c r="D185" i="7"/>
  <c r="D231" i="7"/>
  <c r="D28" i="7"/>
  <c r="L24" i="3"/>
  <c r="L20" i="3"/>
  <c r="L17" i="3"/>
  <c r="L16" i="3"/>
  <c r="L15" i="3"/>
  <c r="L14" i="3"/>
  <c r="J21" i="3"/>
  <c r="K21" i="3" s="1"/>
  <c r="J12" i="3"/>
  <c r="I22" i="3"/>
  <c r="L22" i="3" s="1"/>
  <c r="I23" i="3"/>
  <c r="L23" i="3" s="1"/>
  <c r="I27" i="3"/>
  <c r="L27" i="3" s="1"/>
  <c r="I13" i="3"/>
  <c r="L13" i="3" s="1"/>
  <c r="I19" i="3"/>
  <c r="L19" i="3" s="1"/>
  <c r="L85" i="3"/>
  <c r="L84" i="3"/>
  <c r="L81" i="3"/>
  <c r="L76" i="3"/>
  <c r="L75" i="3"/>
  <c r="L74" i="3"/>
  <c r="L73" i="3"/>
  <c r="L71" i="3"/>
  <c r="L70" i="3"/>
  <c r="L68" i="3"/>
  <c r="L67" i="3"/>
  <c r="L66" i="3"/>
  <c r="L60" i="3"/>
  <c r="L52" i="3"/>
  <c r="L44" i="3"/>
  <c r="J54" i="3"/>
  <c r="K54" i="3" s="1"/>
  <c r="I86" i="3"/>
  <c r="L86" i="3" s="1"/>
  <c r="I87" i="3"/>
  <c r="L87" i="3" s="1"/>
  <c r="I82" i="3"/>
  <c r="L82" i="3" s="1"/>
  <c r="I40" i="3"/>
  <c r="L40" i="3" s="1"/>
  <c r="I38" i="3"/>
  <c r="L38" i="3" s="1"/>
  <c r="I36" i="3"/>
  <c r="I88" i="3"/>
  <c r="L88" i="3" s="1"/>
  <c r="E32" i="5"/>
  <c r="I57" i="3"/>
  <c r="L57" i="3" s="1"/>
  <c r="I69" i="3"/>
  <c r="L69" i="3" s="1"/>
  <c r="I56" i="3"/>
  <c r="L56" i="3" s="1"/>
  <c r="I83" i="3"/>
  <c r="L83" i="3" s="1"/>
  <c r="I49" i="3"/>
  <c r="L49" i="3" s="1"/>
  <c r="I39" i="3"/>
  <c r="L39" i="3" s="1"/>
  <c r="I45" i="3"/>
  <c r="I41" i="3"/>
  <c r="L41" i="3" s="1"/>
  <c r="I37" i="3"/>
  <c r="L37" i="3" s="1"/>
  <c r="I58" i="3"/>
  <c r="L58" i="3" s="1"/>
  <c r="I50" i="3"/>
  <c r="L50" i="3" s="1"/>
  <c r="I80" i="3"/>
  <c r="L80" i="3" s="1"/>
  <c r="I61" i="3"/>
  <c r="L61" i="3" s="1"/>
  <c r="I51" i="3"/>
  <c r="L51" i="3" s="1"/>
  <c r="I63" i="3"/>
  <c r="L63" i="3" s="1"/>
  <c r="I62" i="3"/>
  <c r="L62" i="3" s="1"/>
  <c r="I55" i="3"/>
  <c r="I48" i="3"/>
  <c r="I46" i="3"/>
  <c r="L46" i="3" s="1"/>
  <c r="H30" i="5"/>
  <c r="H29" i="5"/>
  <c r="H28" i="5"/>
  <c r="H27" i="5"/>
  <c r="H26" i="5"/>
  <c r="H25" i="5"/>
  <c r="H24" i="5"/>
  <c r="H23" i="5"/>
  <c r="H22" i="5"/>
  <c r="H21" i="5"/>
  <c r="H11" i="5"/>
  <c r="H10" i="5"/>
  <c r="H9" i="5"/>
  <c r="G274" i="7"/>
  <c r="G272" i="7"/>
  <c r="G266" i="7"/>
  <c r="G265" i="7"/>
  <c r="G259" i="7"/>
  <c r="G250" i="7"/>
  <c r="G242" i="7"/>
  <c r="G241" i="7"/>
  <c r="G240" i="7"/>
  <c r="G239" i="7"/>
  <c r="G229" i="7"/>
  <c r="G228" i="7"/>
  <c r="G217" i="7"/>
  <c r="G191" i="7"/>
  <c r="J9" i="3" l="1"/>
  <c r="K9" i="3" s="1"/>
  <c r="K12" i="3"/>
  <c r="D284" i="7"/>
  <c r="H28" i="3"/>
  <c r="I47" i="3"/>
  <c r="I54" i="3"/>
  <c r="L54" i="3" s="1"/>
  <c r="I43" i="3"/>
  <c r="I64" i="3"/>
  <c r="L55" i="3"/>
  <c r="I12" i="3"/>
  <c r="L12" i="3" s="1"/>
  <c r="H35" i="3"/>
  <c r="H47" i="3"/>
  <c r="L45" i="3"/>
  <c r="I35" i="3"/>
  <c r="I21" i="3"/>
  <c r="L21" i="3" s="1"/>
  <c r="L36" i="3"/>
  <c r="L48" i="3"/>
  <c r="I79" i="3"/>
  <c r="I78" i="3" s="1"/>
  <c r="I77" i="3" s="1"/>
  <c r="H54" i="3"/>
  <c r="G184" i="7"/>
  <c r="G182" i="7"/>
  <c r="G181" i="7"/>
  <c r="G180" i="7"/>
  <c r="G171" i="7"/>
  <c r="G162" i="7"/>
  <c r="J8" i="3" l="1"/>
  <c r="K8" i="3" s="1"/>
  <c r="I42" i="3"/>
  <c r="I34" i="3" s="1"/>
  <c r="I33" i="3" s="1"/>
  <c r="H42" i="3"/>
  <c r="H34" i="3" s="1"/>
  <c r="H33" i="3" s="1"/>
  <c r="I9" i="3"/>
  <c r="G153" i="7"/>
  <c r="G136" i="7"/>
  <c r="G128" i="7"/>
  <c r="G111" i="7"/>
  <c r="E138" i="7"/>
  <c r="E244" i="7"/>
  <c r="E231" i="7"/>
  <c r="E185" i="7"/>
  <c r="E130" i="7"/>
  <c r="G130" i="7" s="1"/>
  <c r="G103" i="7"/>
  <c r="G102" i="7"/>
  <c r="G93" i="7"/>
  <c r="E94" i="7"/>
  <c r="F94" i="7"/>
  <c r="G92" i="7"/>
  <c r="G84" i="7"/>
  <c r="G83" i="7"/>
  <c r="G74" i="7"/>
  <c r="G73" i="7"/>
  <c r="G72" i="7"/>
  <c r="G71" i="7"/>
  <c r="G61" i="7"/>
  <c r="I8" i="3" l="1"/>
  <c r="I28" i="3" s="1"/>
  <c r="L28" i="3" s="1"/>
  <c r="L9" i="3"/>
  <c r="G94" i="7"/>
  <c r="F282" i="7"/>
  <c r="G52" i="7"/>
  <c r="G51" i="7"/>
  <c r="G50" i="7"/>
  <c r="G48" i="7"/>
  <c r="G47" i="7"/>
  <c r="G46" i="7"/>
  <c r="G45" i="7"/>
  <c r="G43" i="7"/>
  <c r="G42" i="7"/>
  <c r="G41" i="7"/>
  <c r="E75" i="7"/>
  <c r="E63" i="7"/>
  <c r="E28" i="7"/>
  <c r="E49" i="7"/>
  <c r="E53" i="7" s="1"/>
  <c r="E35" i="7"/>
  <c r="F53" i="7"/>
  <c r="G34" i="7"/>
  <c r="G26" i="7"/>
  <c r="G25" i="7"/>
  <c r="G24" i="7"/>
  <c r="G23" i="7"/>
  <c r="G22" i="7"/>
  <c r="G21" i="7"/>
  <c r="G19" i="7"/>
  <c r="G18" i="7"/>
  <c r="G17" i="7"/>
  <c r="G15" i="7"/>
  <c r="G14" i="7"/>
  <c r="G13" i="7"/>
  <c r="G12" i="7"/>
  <c r="G10" i="7"/>
  <c r="G9" i="7"/>
  <c r="G8" i="7"/>
  <c r="F13" i="5"/>
  <c r="G13" i="5" s="1"/>
  <c r="F15" i="5"/>
  <c r="F32" i="5"/>
  <c r="E284" i="7" l="1"/>
  <c r="H32" i="5"/>
  <c r="G32" i="5"/>
  <c r="H15" i="5"/>
  <c r="G15" i="5"/>
  <c r="F7" i="5"/>
  <c r="L8" i="3"/>
  <c r="H13" i="5"/>
  <c r="G53" i="7"/>
  <c r="G49" i="7"/>
  <c r="F260" i="7"/>
  <c r="G260" i="7" s="1"/>
  <c r="F244" i="7"/>
  <c r="G244" i="7" s="1"/>
  <c r="G20" i="5" l="1"/>
  <c r="H7" i="5"/>
  <c r="G7" i="5"/>
  <c r="G282" i="7"/>
  <c r="E282" i="7"/>
  <c r="F163" i="7"/>
  <c r="G163" i="7" s="1"/>
  <c r="F75" i="7"/>
  <c r="G75" i="7" s="1"/>
  <c r="F20" i="7"/>
  <c r="G20" i="7" s="1"/>
  <c r="F35" i="7"/>
  <c r="G35" i="7" s="1"/>
  <c r="F251" i="7"/>
  <c r="G251" i="7" s="1"/>
  <c r="H20" i="5" l="1"/>
  <c r="F227" i="7"/>
  <c r="G227" i="7" s="1"/>
  <c r="F226" i="7"/>
  <c r="F218" i="7"/>
  <c r="G218" i="7" s="1"/>
  <c r="F209" i="7"/>
  <c r="F231" i="7" l="1"/>
  <c r="G231" i="7" s="1"/>
  <c r="G226" i="7"/>
  <c r="G209" i="7"/>
  <c r="F192" i="7"/>
  <c r="G192" i="7" s="1"/>
  <c r="F185" i="7"/>
  <c r="G185" i="7" s="1"/>
  <c r="F172" i="7"/>
  <c r="G172" i="7" s="1"/>
  <c r="F27" i="7"/>
  <c r="F154" i="7"/>
  <c r="G154" i="7" s="1"/>
  <c r="F138" i="7"/>
  <c r="G138" i="7" s="1"/>
  <c r="F113" i="7"/>
  <c r="G113" i="7" s="1"/>
  <c r="F63" i="7"/>
  <c r="G63" i="7" s="1"/>
  <c r="F28" i="7" l="1"/>
  <c r="G28" i="7" s="1"/>
  <c r="G27" i="7"/>
  <c r="F284" i="7" l="1"/>
  <c r="G284" i="7" s="1"/>
  <c r="J35" i="3"/>
  <c r="K35" i="3" s="1"/>
  <c r="J79" i="3"/>
  <c r="K79" i="3" s="1"/>
  <c r="J64" i="3"/>
  <c r="J47" i="3"/>
  <c r="J43" i="3"/>
  <c r="K43" i="3" s="1"/>
  <c r="L47" i="3" l="1"/>
  <c r="K47" i="3"/>
  <c r="L64" i="3"/>
  <c r="K64" i="3"/>
  <c r="L43" i="3"/>
  <c r="J42" i="3"/>
  <c r="J78" i="3"/>
  <c r="K78" i="3" s="1"/>
  <c r="L79" i="3"/>
  <c r="L35" i="3"/>
  <c r="L42" i="3" l="1"/>
  <c r="K42" i="3"/>
  <c r="J34" i="3"/>
  <c r="K34" i="3" s="1"/>
  <c r="J77" i="3"/>
  <c r="L78" i="3"/>
  <c r="L77" i="3" l="1"/>
  <c r="K77" i="3"/>
  <c r="L34" i="3"/>
  <c r="J33" i="3"/>
  <c r="L33" i="3" l="1"/>
  <c r="K33" i="3"/>
</calcChain>
</file>

<file path=xl/sharedStrings.xml><?xml version="1.0" encoding="utf-8"?>
<sst xmlns="http://schemas.openxmlformats.org/spreadsheetml/2006/main" count="532" uniqueCount="234">
  <si>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</si>
  <si>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</si>
  <si>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</si>
  <si>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</si>
  <si>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</si>
  <si>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</si>
  <si>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</si>
  <si>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</si>
  <si>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I. OPĆI DIO</t>
  </si>
  <si>
    <t>Materijalni rashodi</t>
  </si>
  <si>
    <t>Pomoći iz inozemstva i od subjekata unutar općeg proračuna</t>
  </si>
  <si>
    <t>PRIJENOS SREDSTAVA IZ PRETHODNE GODINE</t>
  </si>
  <si>
    <t>11 Opći prihodi i primici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</si>
  <si>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</si>
  <si>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</si>
  <si>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</si>
  <si>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</si>
  <si>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</si>
  <si>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</si>
  <si>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</si>
  <si>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</si>
  <si>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</si>
  <si>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</si>
  <si>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</si>
  <si>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</si>
  <si>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</si>
  <si>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</si>
  <si>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UKUPNO PRIHODI </t>
  </si>
  <si>
    <t>UKUPNO RASHODI</t>
  </si>
  <si>
    <t>TEKUĆI PLAN 2023.*</t>
  </si>
  <si>
    <t>INDEKS**</t>
  </si>
  <si>
    <t>RAZLIKA PRIMITAKA I IZDATAKA</t>
  </si>
  <si>
    <t>SAŽETAK  RAČUNA PRIHODA I RASHODA I RAČUNA FINANCIRANJA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</si>
  <si>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</si>
  <si>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</si>
  <si>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</si>
  <si>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</si>
  <si>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</si>
  <si>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OSTVARENJE/ IZVRŠENJE 
2023.</t>
  </si>
  <si>
    <t>OSTVARENJE/IZVRŠENJE 
2023.</t>
  </si>
  <si>
    <t>Potpore od međunarodnih organizacija</t>
  </si>
  <si>
    <t>Kapitalne potpore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</si>
  <si>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</si>
  <si>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</si>
  <si>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</si>
  <si>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Prijenosi između proračunsklih korisnika istog proračuna</t>
  </si>
  <si>
    <t>Tekući prijenosi između proračunskih korisnika istog proračuna temeljem prijenosa EU sredstava</t>
  </si>
  <si>
    <t>Prihodi od upravnih i administrativnih pristojbi,pristojbi po posebnim propisima i naknade</t>
  </si>
  <si>
    <t>Prihodi po posebnim propisima</t>
  </si>
  <si>
    <t>Ostali nespomenuti prihodi</t>
  </si>
  <si>
    <t>Prihodi iz nadležnog proračuna i od HZZO-a na temelju ugovornih obveza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</si>
  <si>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</si>
  <si>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</si>
  <si>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</si>
  <si>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Kazne, upravne mjere i ostali prihodi</t>
  </si>
  <si>
    <t>Ostali prihodi</t>
  </si>
  <si>
    <t>Ostali rashodi za zaposlene</t>
  </si>
  <si>
    <t>Doprinosi na plaće</t>
  </si>
  <si>
    <t>Naknade za prijevoz, za rad na terenu i odvojeni život</t>
  </si>
  <si>
    <t>Stručno usavršavanje zaposlenika</t>
  </si>
  <si>
    <t>Rashodi za materijal i energiju</t>
  </si>
  <si>
    <t>Uredski materijal i ostali materijali</t>
  </si>
  <si>
    <t>Materijal i sirovine</t>
  </si>
  <si>
    <t>Energija</t>
  </si>
  <si>
    <t>Materijal i dijelovi za tekuće i investicijsko održavanje</t>
  </si>
  <si>
    <t>Sitni inventar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</si>
  <si>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</si>
  <si>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</si>
  <si>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</si>
  <si>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</si>
  <si>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</si>
  <si>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</si>
  <si>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Intelektualnei osobne usluge</t>
  </si>
  <si>
    <t>Računalne usluge</t>
  </si>
  <si>
    <t>Ostale usluge</t>
  </si>
  <si>
    <t>Ostali nespomenuti rashodi poslovanja</t>
  </si>
  <si>
    <t>Premije osiguranja</t>
  </si>
  <si>
    <t>Troškovi sudsih postupaka</t>
  </si>
  <si>
    <t>Naknade građanima i kućanstvima na temelju osiguranja i druge naknade</t>
  </si>
  <si>
    <t>Ostale naknade građanima i kućanstvima iz proračuna</t>
  </si>
  <si>
    <t>Tekuće donacije</t>
  </si>
  <si>
    <t>Naknade građanima i kućanstvima u novcu</t>
  </si>
  <si>
    <t>Tekuće donacije u naravi</t>
  </si>
  <si>
    <t>Rashodi za nabavu proizvedene dugotrajne imovine</t>
  </si>
  <si>
    <t>Postrojenja i oprema</t>
  </si>
  <si>
    <t>Uredska oprema i namještaj</t>
  </si>
  <si>
    <t>Uređaji, strojevi i oprema za ostale</t>
  </si>
  <si>
    <t>Knjige, umjetnička djela i ostale izložbene vrijednosti</t>
  </si>
  <si>
    <t>Knjige</t>
  </si>
  <si>
    <t>Nematerijalna proizvedena imovina</t>
  </si>
  <si>
    <t>Ostala nematerijalna proizvedena imovina</t>
  </si>
  <si>
    <t>Rashodi za dodatna ulaganja na nefinancijskoj imovini</t>
  </si>
  <si>
    <t>Dodatna ulaganja na građevinskim objektima</t>
  </si>
  <si>
    <t>45 F.P.i dod. udio u por. na dohodak</t>
  </si>
  <si>
    <t>51 Državni proračun</t>
  </si>
  <si>
    <t>42 Višak prihoda OŠ</t>
  </si>
  <si>
    <t>53 Proračun JLS</t>
  </si>
  <si>
    <t>54 Pomoći iz inozemstva</t>
  </si>
  <si>
    <t>12 Višak/manjak prihoda-ZŽ</t>
  </si>
  <si>
    <t>DONACIJE</t>
  </si>
  <si>
    <t>49 DEC nedostajuća sredstva</t>
  </si>
  <si>
    <t>A2202-01</t>
  </si>
  <si>
    <t>Djelatnost osnovnih škola</t>
  </si>
  <si>
    <t>Izvor financiranja 45: F.P i dod. udio u por. na dohodak</t>
  </si>
  <si>
    <t>Račun rashoda/ izdatka</t>
  </si>
  <si>
    <t>Naziv računa</t>
  </si>
  <si>
    <t>Uredski materijal i ostali mat. rashodi</t>
  </si>
  <si>
    <t>El. energija</t>
  </si>
  <si>
    <t>Motorni benzin i dizel gorivo</t>
  </si>
  <si>
    <t>Materijal i dijelovi za tekuće i inv. održavanje</t>
  </si>
  <si>
    <t>Službena radna i zaštitna odjeća i obuća</t>
  </si>
  <si>
    <t>Usluge tekućeg i inv. održavanja</t>
  </si>
  <si>
    <t>Prijevoz učenika osnovnih škola</t>
  </si>
  <si>
    <t>Ostale zakupnine i najamnine</t>
  </si>
  <si>
    <t>Intelektualne i osobne usluge</t>
  </si>
  <si>
    <t>Ukupno:</t>
  </si>
  <si>
    <t>K2202-02</t>
  </si>
  <si>
    <t>Nabava proizvedene dugotrajne imovine</t>
  </si>
  <si>
    <t>Izvor financiranja 45: F.P. i dod. udio u por.na dohodak</t>
  </si>
  <si>
    <t>T2202-03</t>
  </si>
  <si>
    <t>Hitne intervencije u osnovnim školama</t>
  </si>
  <si>
    <t>A2203-01</t>
  </si>
  <si>
    <t>Javne potrebe u prosvjeti</t>
  </si>
  <si>
    <t>Izvor financiranja 11: Opći prihodi i primici</t>
  </si>
  <si>
    <t>Ostali nespomenuti rashodi</t>
  </si>
  <si>
    <t>T2203-02</t>
  </si>
  <si>
    <t>Projektna dokumentacija- Javne potrebe</t>
  </si>
  <si>
    <t>Izrada projek. dokum. za projekte OŠ i SŠ</t>
  </si>
  <si>
    <t>T2203-03</t>
  </si>
  <si>
    <t>Kapitalna ulaganja u osnovnim školama</t>
  </si>
  <si>
    <t>Izvor financiranja 51: Državni proračun</t>
  </si>
  <si>
    <t>Izvor financiranja 53: Proračun JLS</t>
  </si>
  <si>
    <t>Školska kuhinja i kantina</t>
  </si>
  <si>
    <t>Izvor financiranja 41: Prihodi za posebne namjene</t>
  </si>
  <si>
    <t>A2203-07</t>
  </si>
  <si>
    <t>Prehrana u riziku od siromaštva</t>
  </si>
  <si>
    <t>Izvor financiranja 54: Pomoći iz inozemstva</t>
  </si>
  <si>
    <t>A2203-27</t>
  </si>
  <si>
    <t>Udžbenici</t>
  </si>
  <si>
    <t>A2203-14</t>
  </si>
  <si>
    <t>Natjecanja i smotre u OŠ</t>
  </si>
  <si>
    <t>Izvršenje 2023.</t>
  </si>
  <si>
    <t>Lektira za knjižnicu</t>
  </si>
  <si>
    <t>Izvor financiranja 49: DEC nedostajuća sredstva</t>
  </si>
  <si>
    <t>Uredski materijal</t>
  </si>
  <si>
    <t xml:space="preserve">Komunalne usluge </t>
  </si>
  <si>
    <t>Materijal i dijelovi za tekuće i inv.održavanje</t>
  </si>
  <si>
    <t>Ostale intelektualne usluge</t>
  </si>
  <si>
    <t>Izvor financiranja 42: Višak prihoda</t>
  </si>
  <si>
    <t>Oprema</t>
  </si>
  <si>
    <t>Izvor financiranja 12: Višak/manjak prihoda - ZŽ</t>
  </si>
  <si>
    <t>A2203-28</t>
  </si>
  <si>
    <t>Centar izvrsnosti OŠ</t>
  </si>
  <si>
    <t>A2203-30</t>
  </si>
  <si>
    <t>Produženi boravak</t>
  </si>
  <si>
    <t>Doprinosi za obvezno zdravstveno osiguranje</t>
  </si>
  <si>
    <t>Naknade za prijevoz</t>
  </si>
  <si>
    <t>Marende učenika</t>
  </si>
  <si>
    <t>A2203-33</t>
  </si>
  <si>
    <t>Prehrana za učenike</t>
  </si>
  <si>
    <t>Izvor financiranja 51: Prehrana za učenike</t>
  </si>
  <si>
    <t>Uredski  materijal</t>
  </si>
  <si>
    <t>A2203-34</t>
  </si>
  <si>
    <t>Zalihe menstrualnih higijenskih potrepština</t>
  </si>
  <si>
    <t>Materijal za hig. Potrebe i njegu</t>
  </si>
  <si>
    <t>Prijevoz učenika</t>
  </si>
  <si>
    <t>Izvor financiranja 51:Državni proračun</t>
  </si>
  <si>
    <t>A2202-04</t>
  </si>
  <si>
    <t>Administracija i upravljanje</t>
  </si>
  <si>
    <t>Doprinosi za zdravstveno osiguranje</t>
  </si>
  <si>
    <t>Podizanje kvalitete i standarda u školstvu</t>
  </si>
  <si>
    <t>Plaće po sudskim presudama</t>
  </si>
  <si>
    <t>Troškovi sudskih postupaka</t>
  </si>
  <si>
    <t>Knjige u knjižnicama</t>
  </si>
  <si>
    <t>Izvor financiranja 41:Prihodi za posebne namjene</t>
  </si>
  <si>
    <t>Izvor financiranja 31:Vlastiti prihodi</t>
  </si>
  <si>
    <t>Službena putivanja</t>
  </si>
  <si>
    <t>IZVORNI PLAN 2023.</t>
  </si>
  <si>
    <t>TEKUĆI PLAN 2023.</t>
  </si>
  <si>
    <t>OSTVARENJE 
2023.</t>
  </si>
  <si>
    <t>OSTVARENJE 
2022.</t>
  </si>
  <si>
    <t>Izvor financiranja: Donacije</t>
  </si>
  <si>
    <t>Izvorni plan 2023</t>
  </si>
  <si>
    <t>Tekući plan 2023</t>
  </si>
  <si>
    <t>Izvor financiranja 53:Proračun JLS</t>
  </si>
  <si>
    <t>41 Prihodi za posebne namjene</t>
  </si>
  <si>
    <t>Donacija</t>
  </si>
  <si>
    <t>GODIŠNJI IZVJEŠTAJ O IZVRŠENJU FINANCIJSKOG PLANA ZA 2023. GODINU PREMA PROGRAMSKOJ KLASIFIKACIJI TE IZVORIMA</t>
  </si>
  <si>
    <t>OSTVARENJE
2022.</t>
  </si>
  <si>
    <t>IZVORNI PLAN   2023.</t>
  </si>
  <si>
    <t>Izvorni plan 2023.</t>
  </si>
  <si>
    <t>Tekući plan 2023.</t>
  </si>
  <si>
    <t>Motorni benzin i gorivo</t>
  </si>
  <si>
    <t>575,83 prošla godina plaćena</t>
  </si>
  <si>
    <t>Kapitalna ulaganja OŠ</t>
  </si>
  <si>
    <t>Namirnice 2022/2023</t>
  </si>
  <si>
    <t>Namirnice 2021/2022</t>
  </si>
  <si>
    <t>Namirnice 2022/20223 (51)</t>
  </si>
  <si>
    <t>Namirnice 2022/20223 (54)</t>
  </si>
  <si>
    <t>Novčana nak.posl.zbog nezapošll. Osoba s inval.</t>
  </si>
  <si>
    <t>Licence</t>
  </si>
  <si>
    <t>Indeks (6=5/4*100)</t>
  </si>
  <si>
    <t>Program: 2202   Osnovno školstvo - standard</t>
  </si>
  <si>
    <t>SVEUKUPNO</t>
  </si>
  <si>
    <t>Funkcija: 0912 Osnovno obrazovanje</t>
  </si>
  <si>
    <t>Izvor financiranja 45: F.B. i dod. udio u por. Na dohodak</t>
  </si>
  <si>
    <t>Funkcija: 0960 Dodatne usluge u obrazovanju</t>
  </si>
  <si>
    <t>Ostale naknade iz proračuna u naravi</t>
  </si>
  <si>
    <t>Novčana nak.posl.zbog nezaposl.os. S inval.</t>
  </si>
  <si>
    <t>Doprinosi za obvezno zdravstveno</t>
  </si>
  <si>
    <t>Osnovni materijal i sirovine</t>
  </si>
  <si>
    <t>Službena, radna i zašitna odjeća i obuća</t>
  </si>
  <si>
    <t>Ostale naknade iz proračuna - prehraba</t>
  </si>
  <si>
    <t>Naknade članovima povjerenstva</t>
  </si>
  <si>
    <t>IZVJEŠTAJ O PRIHODIMA I RASHODIMA PREMA IZVORIMA FINANCIRANJA ZA RAZDOBLJE OD 01.01.2023. DO 31.12.2023.</t>
  </si>
  <si>
    <t>OPĆI DIO</t>
  </si>
  <si>
    <t>PRIHODI I RASHODI PREMA EKONOMSKOJ KLASIFIKACIJI ZA RAZDOBLJE OD 01.01.-31.12.2023.</t>
  </si>
  <si>
    <t>GODIŠNJI IZVJEŠTAJ O IZVRŠENJU FINANCIJSKOG PLANA ZA RAZDOBLJE OD 01.01.2023. DO 31.12.2023.</t>
  </si>
  <si>
    <t>PRENESENI VIŠAK</t>
  </si>
  <si>
    <t>Manjak prihoda</t>
  </si>
  <si>
    <t>UKUPNO PRIHODI  + sredstva uplaćena u proračun</t>
  </si>
  <si>
    <t>42 Višak prihoda OŠ - 16721 sredstva upl.u proračun</t>
  </si>
  <si>
    <t>PRETHODNE GODINE</t>
  </si>
  <si>
    <t>OSTVARENJE/IZVRŠENJE 2023.</t>
  </si>
  <si>
    <t>OSTVARENJE 2022.</t>
  </si>
  <si>
    <t>VIŠAK/MANJAK IZ PRETHODNIH GODINA</t>
  </si>
  <si>
    <t>UKUPNO</t>
  </si>
  <si>
    <t>Manjak prihoda poslovanja</t>
  </si>
  <si>
    <t>SREDSTVA UPLAĆENA U ŽUPANIJSKI PRORAČUN</t>
  </si>
  <si>
    <t>A2203-06</t>
  </si>
  <si>
    <t>A2203-04</t>
  </si>
  <si>
    <t>Višak prihoda - sredstva uplaćena u proračun</t>
  </si>
  <si>
    <t>SVEUKUPNO PRIHOD + VIŠAK PRIHODA(sredstva uplaćena u proračun)</t>
  </si>
  <si>
    <t>Na temelju Zakona o proračunu ("Narodne novine" broj 87/08, 136/12 i 15/15, 144/21) i Pravilnika o polugodišnjem i godišnjem izvještaju o izvršenju proračuna ("Narodne novine" 24/13, 102/17 i 1/20) Osnovna škola Zemunik podnosi školskom odboru: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</si>
</sst>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Time ne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/>
      <top/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10" applyNumberFormat="0" applyAlignment="0" applyProtection="0"/>
    <xf numFmtId="0" fontId="23" fillId="8" borderId="11" applyNumberFormat="0" applyAlignment="0" applyProtection="0"/>
    <xf numFmtId="0" fontId="24" fillId="8" borderId="10" applyNumberFormat="0" applyAlignment="0" applyProtection="0"/>
    <xf numFmtId="0" fontId="25" fillId="0" borderId="12" applyNumberFormat="0" applyFill="0" applyAlignment="0" applyProtection="0"/>
    <xf numFmtId="0" fontId="26" fillId="9" borderId="13" applyNumberFormat="0" applyAlignment="0" applyProtection="0"/>
    <xf numFmtId="0" fontId="27" fillId="0" borderId="0" applyNumberFormat="0" applyFill="0" applyBorder="0" applyAlignment="0" applyProtection="0"/>
    <xf numFmtId="0" fontId="14" fillId="10" borderId="14" applyNumberFormat="0" applyFont="0" applyAlignment="0" applyProtection="0"/>
    <xf numFmtId="0" fontId="28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6" fillId="0" borderId="0"/>
    <xf numFmtId="0" fontId="6" fillId="0" borderId="0"/>
  </cellStyleXfs>
  <cellXfs count="28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5" fillId="0" borderId="3" xfId="0" applyNumberFormat="1" applyFont="1" applyBorder="1" applyAlignment="1">
      <alignment horizontal="right"/>
    </xf>
    <xf numFmtId="0" fontId="8" fillId="3" borderId="1" xfId="0" applyFont="1" applyFill="1" applyBorder="1" applyAlignment="1">
      <alignment horizontal="left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3" borderId="0" xfId="0" applyFill="1"/>
    <xf numFmtId="3" fontId="4" fillId="3" borderId="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6" fillId="3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quotePrefix="1" applyFont="1" applyFill="1" applyAlignment="1">
      <alignment horizontal="left" vertical="center"/>
    </xf>
    <xf numFmtId="0" fontId="7" fillId="2" borderId="0" xfId="0" quotePrefix="1" applyFont="1" applyFill="1" applyAlignment="1">
      <alignment horizontal="left" vertical="center"/>
    </xf>
    <xf numFmtId="0" fontId="6" fillId="2" borderId="0" xfId="0" quotePrefix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right"/>
    </xf>
    <xf numFmtId="4" fontId="0" fillId="0" borderId="0" xfId="0" applyNumberFormat="1"/>
    <xf numFmtId="4" fontId="12" fillId="0" borderId="0" xfId="0" applyNumberFormat="1" applyFont="1" applyAlignment="1">
      <alignment vertical="top" wrapText="1"/>
    </xf>
    <xf numFmtId="0" fontId="34" fillId="0" borderId="0" xfId="0" applyFont="1"/>
    <xf numFmtId="4" fontId="34" fillId="0" borderId="0" xfId="0" applyNumberFormat="1" applyFont="1"/>
    <xf numFmtId="0" fontId="35" fillId="0" borderId="0" xfId="0" applyFont="1"/>
    <xf numFmtId="0" fontId="36" fillId="0" borderId="0" xfId="0" applyFont="1"/>
    <xf numFmtId="4" fontId="36" fillId="0" borderId="0" xfId="0" applyNumberFormat="1" applyFont="1"/>
    <xf numFmtId="4" fontId="34" fillId="0" borderId="3" xfId="0" applyNumberFormat="1" applyFont="1" applyBorder="1"/>
    <xf numFmtId="0" fontId="34" fillId="35" borderId="0" xfId="0" applyFont="1" applyFill="1"/>
    <xf numFmtId="4" fontId="37" fillId="0" borderId="0" xfId="0" applyNumberFormat="1" applyFont="1"/>
    <xf numFmtId="4" fontId="34" fillId="36" borderId="0" xfId="0" applyNumberFormat="1" applyFont="1" applyFill="1"/>
    <xf numFmtId="4" fontId="37" fillId="0" borderId="3" xfId="0" applyNumberFormat="1" applyFont="1" applyBorder="1"/>
    <xf numFmtId="4" fontId="38" fillId="0" borderId="3" xfId="0" applyNumberFormat="1" applyFont="1" applyBorder="1"/>
    <xf numFmtId="0" fontId="39" fillId="3" borderId="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42" fillId="38" borderId="3" xfId="0" applyFont="1" applyFill="1" applyBorder="1" applyAlignment="1">
      <alignment horizontal="left" vertical="center" wrapText="1"/>
    </xf>
    <xf numFmtId="4" fontId="37" fillId="3" borderId="3" xfId="0" applyNumberFormat="1" applyFont="1" applyFill="1" applyBorder="1"/>
    <xf numFmtId="0" fontId="34" fillId="0" borderId="3" xfId="0" applyFont="1" applyBorder="1"/>
    <xf numFmtId="4" fontId="37" fillId="37" borderId="3" xfId="0" applyNumberFormat="1" applyFont="1" applyFill="1" applyBorder="1"/>
    <xf numFmtId="0" fontId="37" fillId="37" borderId="3" xfId="0" applyFont="1" applyFill="1" applyBorder="1"/>
    <xf numFmtId="0" fontId="45" fillId="3" borderId="3" xfId="0" applyFont="1" applyFill="1" applyBorder="1" applyAlignment="1">
      <alignment horizontal="left" vertical="center" wrapText="1"/>
    </xf>
    <xf numFmtId="0" fontId="46" fillId="3" borderId="3" xfId="0" applyFont="1" applyFill="1" applyBorder="1" applyAlignment="1">
      <alignment horizontal="left" vertical="center" wrapText="1"/>
    </xf>
    <xf numFmtId="0" fontId="46" fillId="2" borderId="3" xfId="0" quotePrefix="1" applyFont="1" applyFill="1" applyBorder="1" applyAlignment="1">
      <alignment horizontal="left" vertical="center"/>
    </xf>
    <xf numFmtId="4" fontId="47" fillId="2" borderId="3" xfId="0" applyNumberFormat="1" applyFont="1" applyFill="1" applyBorder="1" applyAlignment="1">
      <alignment horizontal="right"/>
    </xf>
    <xf numFmtId="0" fontId="31" fillId="37" borderId="3" xfId="0" quotePrefix="1" applyFont="1" applyFill="1" applyBorder="1" applyAlignment="1">
      <alignment horizontal="left" vertical="center"/>
    </xf>
    <xf numFmtId="0" fontId="45" fillId="37" borderId="3" xfId="0" quotePrefix="1" applyFont="1" applyFill="1" applyBorder="1" applyAlignment="1">
      <alignment horizontal="left" vertical="center"/>
    </xf>
    <xf numFmtId="4" fontId="48" fillId="37" borderId="3" xfId="0" applyNumberFormat="1" applyFont="1" applyFill="1" applyBorder="1" applyAlignment="1">
      <alignment horizontal="right"/>
    </xf>
    <xf numFmtId="0" fontId="45" fillId="2" borderId="3" xfId="0" quotePrefix="1" applyFont="1" applyFill="1" applyBorder="1" applyAlignment="1">
      <alignment horizontal="left" vertical="center"/>
    </xf>
    <xf numFmtId="0" fontId="46" fillId="2" borderId="3" xfId="0" quotePrefix="1" applyFont="1" applyFill="1" applyBorder="1" applyAlignment="1">
      <alignment horizontal="left" vertical="center" wrapText="1"/>
    </xf>
    <xf numFmtId="0" fontId="45" fillId="37" borderId="3" xfId="0" applyFont="1" applyFill="1" applyBorder="1" applyAlignment="1">
      <alignment horizontal="left" vertical="center" wrapText="1"/>
    </xf>
    <xf numFmtId="4" fontId="48" fillId="37" borderId="3" xfId="0" applyNumberFormat="1" applyFont="1" applyFill="1" applyBorder="1" applyAlignment="1">
      <alignment horizontal="right" wrapText="1"/>
    </xf>
    <xf numFmtId="0" fontId="46" fillId="2" borderId="3" xfId="0" applyFont="1" applyFill="1" applyBorder="1" applyAlignment="1">
      <alignment horizontal="left" vertical="center" wrapText="1"/>
    </xf>
    <xf numFmtId="4" fontId="47" fillId="2" borderId="3" xfId="0" applyNumberFormat="1" applyFont="1" applyFill="1" applyBorder="1" applyAlignment="1">
      <alignment horizontal="right" wrapText="1"/>
    </xf>
    <xf numFmtId="0" fontId="45" fillId="2" borderId="3" xfId="0" applyFont="1" applyFill="1" applyBorder="1" applyAlignment="1">
      <alignment horizontal="left" vertical="center" wrapText="1"/>
    </xf>
    <xf numFmtId="0" fontId="46" fillId="3" borderId="3" xfId="0" quotePrefix="1" applyFont="1" applyFill="1" applyBorder="1" applyAlignment="1">
      <alignment horizontal="left" vertical="center"/>
    </xf>
    <xf numFmtId="0" fontId="45" fillId="3" borderId="3" xfId="0" quotePrefix="1" applyFont="1" applyFill="1" applyBorder="1" applyAlignment="1">
      <alignment horizontal="left" vertical="center"/>
    </xf>
    <xf numFmtId="0" fontId="42" fillId="38" borderId="3" xfId="0" applyFont="1" applyFill="1" applyBorder="1" applyAlignment="1">
      <alignment horizontal="left" vertical="center"/>
    </xf>
    <xf numFmtId="0" fontId="42" fillId="38" borderId="3" xfId="0" applyFont="1" applyFill="1" applyBorder="1" applyAlignment="1">
      <alignment vertical="center" wrapText="1"/>
    </xf>
    <xf numFmtId="0" fontId="45" fillId="3" borderId="3" xfId="0" applyFont="1" applyFill="1" applyBorder="1" applyAlignment="1">
      <alignment vertical="center" wrapText="1"/>
    </xf>
    <xf numFmtId="4" fontId="39" fillId="3" borderId="3" xfId="0" applyNumberFormat="1" applyFont="1" applyFill="1" applyBorder="1" applyAlignment="1">
      <alignment horizontal="center" vertical="center" wrapText="1"/>
    </xf>
    <xf numFmtId="4" fontId="40" fillId="3" borderId="3" xfId="0" applyNumberFormat="1" applyFont="1" applyFill="1" applyBorder="1" applyAlignment="1">
      <alignment horizontal="center" vertical="center" wrapText="1"/>
    </xf>
    <xf numFmtId="4" fontId="30" fillId="38" borderId="3" xfId="0" applyNumberFormat="1" applyFont="1" applyFill="1" applyBorder="1"/>
    <xf numFmtId="4" fontId="34" fillId="3" borderId="3" xfId="0" applyNumberFormat="1" applyFont="1" applyFill="1" applyBorder="1"/>
    <xf numFmtId="4" fontId="3" fillId="2" borderId="0" xfId="0" applyNumberFormat="1" applyFont="1" applyFill="1" applyAlignment="1">
      <alignment horizontal="right"/>
    </xf>
    <xf numFmtId="0" fontId="45" fillId="3" borderId="3" xfId="0" quotePrefix="1" applyFont="1" applyFill="1" applyBorder="1" applyAlignment="1">
      <alignment horizontal="left" vertical="center" wrapText="1"/>
    </xf>
    <xf numFmtId="0" fontId="46" fillId="2" borderId="16" xfId="0" quotePrefix="1" applyFont="1" applyFill="1" applyBorder="1" applyAlignment="1">
      <alignment horizontal="left" vertical="center"/>
    </xf>
    <xf numFmtId="4" fontId="46" fillId="0" borderId="3" xfId="0" applyNumberFormat="1" applyFont="1" applyBorder="1"/>
    <xf numFmtId="4" fontId="46" fillId="0" borderId="0" xfId="0" applyNumberFormat="1" applyFont="1"/>
    <xf numFmtId="4" fontId="34" fillId="0" borderId="3" xfId="0" applyNumberFormat="1" applyFont="1" applyBorder="1" applyAlignment="1">
      <alignment horizontal="right"/>
    </xf>
    <xf numFmtId="0" fontId="48" fillId="3" borderId="3" xfId="0" applyFont="1" applyFill="1" applyBorder="1" applyAlignment="1">
      <alignment horizontal="center" vertical="center" wrapText="1"/>
    </xf>
    <xf numFmtId="3" fontId="40" fillId="3" borderId="3" xfId="0" applyNumberFormat="1" applyFont="1" applyFill="1" applyBorder="1" applyAlignment="1">
      <alignment horizontal="center" vertical="center" wrapText="1"/>
    </xf>
    <xf numFmtId="0" fontId="45" fillId="39" borderId="3" xfId="0" quotePrefix="1" applyFont="1" applyFill="1" applyBorder="1" applyAlignment="1">
      <alignment horizontal="left" vertical="center"/>
    </xf>
    <xf numFmtId="0" fontId="45" fillId="0" borderId="3" xfId="0" quotePrefix="1" applyFont="1" applyBorder="1" applyAlignment="1">
      <alignment horizontal="left" vertical="center"/>
    </xf>
    <xf numFmtId="0" fontId="46" fillId="0" borderId="3" xfId="0" quotePrefix="1" applyFont="1" applyBorder="1" applyAlignment="1">
      <alignment horizontal="left" vertical="center"/>
    </xf>
    <xf numFmtId="4" fontId="48" fillId="0" borderId="3" xfId="0" applyNumberFormat="1" applyFont="1" applyBorder="1" applyAlignment="1">
      <alignment horizontal="right"/>
    </xf>
    <xf numFmtId="4" fontId="48" fillId="3" borderId="3" xfId="0" applyNumberFormat="1" applyFont="1" applyFill="1" applyBorder="1" applyAlignment="1">
      <alignment horizontal="right" vertical="center"/>
    </xf>
    <xf numFmtId="4" fontId="37" fillId="3" borderId="3" xfId="0" applyNumberFormat="1" applyFont="1" applyFill="1" applyBorder="1" applyAlignment="1">
      <alignment horizontal="right" vertical="center"/>
    </xf>
    <xf numFmtId="4" fontId="34" fillId="3" borderId="3" xfId="0" applyNumberFormat="1" applyFont="1" applyFill="1" applyBorder="1" applyAlignment="1">
      <alignment horizontal="right" vertical="center"/>
    </xf>
    <xf numFmtId="4" fontId="37" fillId="3" borderId="3" xfId="0" applyNumberFormat="1" applyFont="1" applyFill="1" applyBorder="1" applyAlignment="1">
      <alignment vertical="center"/>
    </xf>
    <xf numFmtId="4" fontId="34" fillId="3" borderId="3" xfId="0" applyNumberFormat="1" applyFont="1" applyFill="1" applyBorder="1" applyAlignment="1">
      <alignment vertical="center"/>
    </xf>
    <xf numFmtId="0" fontId="46" fillId="3" borderId="3" xfId="0" quotePrefix="1" applyFont="1" applyFill="1" applyBorder="1" applyAlignment="1">
      <alignment vertical="center"/>
    </xf>
    <xf numFmtId="0" fontId="45" fillId="3" borderId="3" xfId="0" quotePrefix="1" applyFont="1" applyFill="1" applyBorder="1" applyAlignment="1">
      <alignment vertical="center"/>
    </xf>
    <xf numFmtId="0" fontId="45" fillId="3" borderId="3" xfId="0" quotePrefix="1" applyFont="1" applyFill="1" applyBorder="1" applyAlignment="1">
      <alignment vertical="center" wrapText="1"/>
    </xf>
    <xf numFmtId="4" fontId="47" fillId="3" borderId="3" xfId="0" applyNumberFormat="1" applyFont="1" applyFill="1" applyBorder="1" applyAlignment="1">
      <alignment vertical="center"/>
    </xf>
    <xf numFmtId="4" fontId="48" fillId="3" borderId="3" xfId="0" applyNumberFormat="1" applyFont="1" applyFill="1" applyBorder="1" applyAlignment="1">
      <alignment vertical="center"/>
    </xf>
    <xf numFmtId="0" fontId="37" fillId="3" borderId="3" xfId="0" applyFont="1" applyFill="1" applyBorder="1" applyAlignment="1">
      <alignment vertical="center"/>
    </xf>
    <xf numFmtId="4" fontId="48" fillId="3" borderId="3" xfId="0" applyNumberFormat="1" applyFont="1" applyFill="1" applyBorder="1" applyAlignment="1">
      <alignment horizontal="right" vertical="center" wrapText="1"/>
    </xf>
    <xf numFmtId="4" fontId="47" fillId="3" borderId="3" xfId="0" applyNumberFormat="1" applyFont="1" applyFill="1" applyBorder="1" applyAlignment="1">
      <alignment horizontal="right" vertical="center"/>
    </xf>
    <xf numFmtId="4" fontId="43" fillId="38" borderId="3" xfId="0" applyNumberFormat="1" applyFont="1" applyFill="1" applyBorder="1" applyAlignment="1">
      <alignment horizontal="right" vertical="center" wrapText="1"/>
    </xf>
    <xf numFmtId="4" fontId="44" fillId="38" borderId="3" xfId="0" applyNumberFormat="1" applyFont="1" applyFill="1" applyBorder="1" applyAlignment="1">
      <alignment vertical="center"/>
    </xf>
    <xf numFmtId="4" fontId="43" fillId="38" borderId="3" xfId="0" applyNumberFormat="1" applyFont="1" applyFill="1" applyBorder="1" applyAlignment="1">
      <alignment horizontal="right" vertical="center"/>
    </xf>
    <xf numFmtId="4" fontId="48" fillId="37" borderId="3" xfId="0" applyNumberFormat="1" applyFont="1" applyFill="1" applyBorder="1" applyAlignment="1">
      <alignment vertical="center"/>
    </xf>
    <xf numFmtId="4" fontId="37" fillId="37" borderId="3" xfId="0" applyNumberFormat="1" applyFont="1" applyFill="1" applyBorder="1" applyAlignment="1">
      <alignment vertical="center"/>
    </xf>
    <xf numFmtId="0" fontId="37" fillId="37" borderId="3" xfId="0" applyFont="1" applyFill="1" applyBorder="1" applyAlignment="1">
      <alignment vertical="center"/>
    </xf>
    <xf numFmtId="4" fontId="48" fillId="37" borderId="3" xfId="0" applyNumberFormat="1" applyFont="1" applyFill="1" applyBorder="1" applyAlignment="1">
      <alignment horizontal="right" vertical="center"/>
    </xf>
    <xf numFmtId="4" fontId="48" fillId="39" borderId="3" xfId="0" applyNumberFormat="1" applyFont="1" applyFill="1" applyBorder="1" applyAlignment="1">
      <alignment horizontal="right" vertical="center"/>
    </xf>
    <xf numFmtId="4" fontId="37" fillId="39" borderId="3" xfId="0" applyNumberFormat="1" applyFont="1" applyFill="1" applyBorder="1" applyAlignment="1">
      <alignment vertical="center"/>
    </xf>
    <xf numFmtId="4" fontId="34" fillId="37" borderId="3" xfId="0" applyNumberFormat="1" applyFont="1" applyFill="1" applyBorder="1" applyAlignment="1">
      <alignment vertical="center"/>
    </xf>
    <xf numFmtId="4" fontId="37" fillId="38" borderId="3" xfId="0" applyNumberFormat="1" applyFont="1" applyFill="1" applyBorder="1" applyAlignment="1">
      <alignment vertical="center"/>
    </xf>
    <xf numFmtId="4" fontId="37" fillId="40" borderId="3" xfId="0" applyNumberFormat="1" applyFont="1" applyFill="1" applyBorder="1"/>
    <xf numFmtId="4" fontId="34" fillId="37" borderId="3" xfId="0" applyNumberFormat="1" applyFont="1" applyFill="1" applyBorder="1"/>
    <xf numFmtId="0" fontId="45" fillId="37" borderId="3" xfId="0" quotePrefix="1" applyFont="1" applyFill="1" applyBorder="1" applyAlignment="1">
      <alignment horizontal="left" vertical="center" wrapText="1"/>
    </xf>
    <xf numFmtId="0" fontId="31" fillId="0" borderId="16" xfId="0" quotePrefix="1" applyFont="1" applyBorder="1" applyAlignment="1">
      <alignment horizontal="left" vertical="center"/>
    </xf>
    <xf numFmtId="0" fontId="31" fillId="0" borderId="22" xfId="0" quotePrefix="1" applyFont="1" applyBorder="1" applyAlignment="1">
      <alignment horizontal="left" vertical="center"/>
    </xf>
    <xf numFmtId="0" fontId="31" fillId="0" borderId="23" xfId="0" quotePrefix="1" applyFont="1" applyBorder="1" applyAlignment="1">
      <alignment horizontal="left" vertical="center" wrapText="1"/>
    </xf>
    <xf numFmtId="4" fontId="49" fillId="0" borderId="16" xfId="0" applyNumberFormat="1" applyFont="1" applyBorder="1" applyAlignment="1">
      <alignment horizontal="right"/>
    </xf>
    <xf numFmtId="4" fontId="33" fillId="0" borderId="16" xfId="0" applyNumberFormat="1" applyFont="1" applyBorder="1"/>
    <xf numFmtId="4" fontId="51" fillId="2" borderId="27" xfId="0" applyNumberFormat="1" applyFont="1" applyFill="1" applyBorder="1" applyAlignment="1">
      <alignment horizontal="center" vertical="center"/>
    </xf>
    <xf numFmtId="4" fontId="52" fillId="0" borderId="27" xfId="0" applyNumberFormat="1" applyFont="1" applyBorder="1" applyAlignment="1">
      <alignment horizontal="center" vertical="center"/>
    </xf>
    <xf numFmtId="4" fontId="52" fillId="0" borderId="28" xfId="0" applyNumberFormat="1" applyFont="1" applyBorder="1" applyAlignment="1">
      <alignment horizontal="center" vertical="center"/>
    </xf>
    <xf numFmtId="4" fontId="37" fillId="0" borderId="3" xfId="0" applyNumberFormat="1" applyFont="1" applyBorder="1" applyAlignment="1">
      <alignment horizontal="center"/>
    </xf>
    <xf numFmtId="4" fontId="34" fillId="0" borderId="3" xfId="0" applyNumberFormat="1" applyFont="1" applyBorder="1" applyAlignment="1">
      <alignment horizontal="center"/>
    </xf>
    <xf numFmtId="4" fontId="48" fillId="37" borderId="3" xfId="0" applyNumberFormat="1" applyFont="1" applyFill="1" applyBorder="1" applyAlignment="1">
      <alignment horizontal="center" vertical="center"/>
    </xf>
    <xf numFmtId="4" fontId="48" fillId="37" borderId="3" xfId="0" applyNumberFormat="1" applyFont="1" applyFill="1" applyBorder="1" applyAlignment="1">
      <alignment horizontal="center" vertical="center" wrapText="1"/>
    </xf>
    <xf numFmtId="4" fontId="37" fillId="37" borderId="3" xfId="0" applyNumberFormat="1" applyFont="1" applyFill="1" applyBorder="1" applyAlignment="1">
      <alignment horizontal="center" vertical="center"/>
    </xf>
    <xf numFmtId="0" fontId="46" fillId="0" borderId="3" xfId="0" applyFont="1" applyBorder="1" applyAlignment="1">
      <alignment horizontal="left" vertical="center" wrapText="1"/>
    </xf>
    <xf numFmtId="4" fontId="46" fillId="2" borderId="3" xfId="0" applyNumberFormat="1" applyFont="1" applyFill="1" applyBorder="1" applyAlignment="1">
      <alignment horizontal="right" vertical="center" wrapText="1"/>
    </xf>
    <xf numFmtId="4" fontId="46" fillId="0" borderId="3" xfId="0" applyNumberFormat="1" applyFont="1" applyBorder="1" applyAlignment="1">
      <alignment horizontal="right" vertical="center" wrapText="1"/>
    </xf>
    <xf numFmtId="4" fontId="45" fillId="37" borderId="3" xfId="0" applyNumberFormat="1" applyFont="1" applyFill="1" applyBorder="1" applyAlignment="1">
      <alignment horizontal="center" vertical="center" wrapText="1"/>
    </xf>
    <xf numFmtId="2" fontId="37" fillId="37" borderId="3" xfId="0" applyNumberFormat="1" applyFont="1" applyFill="1" applyBorder="1" applyAlignment="1">
      <alignment horizontal="center" vertical="center"/>
    </xf>
    <xf numFmtId="4" fontId="45" fillId="2" borderId="3" xfId="0" applyNumberFormat="1" applyFont="1" applyFill="1" applyBorder="1" applyAlignment="1">
      <alignment horizontal="center" vertical="center" wrapText="1"/>
    </xf>
    <xf numFmtId="4" fontId="43" fillId="38" borderId="3" xfId="0" applyNumberFormat="1" applyFont="1" applyFill="1" applyBorder="1" applyAlignment="1">
      <alignment horizontal="center" vertical="center"/>
    </xf>
    <xf numFmtId="0" fontId="42" fillId="2" borderId="3" xfId="0" applyFont="1" applyFill="1" applyBorder="1" applyAlignment="1">
      <alignment horizontal="left" vertical="center" wrapText="1"/>
    </xf>
    <xf numFmtId="4" fontId="43" fillId="2" borderId="3" xfId="0" applyNumberFormat="1" applyFont="1" applyFill="1" applyBorder="1" applyAlignment="1">
      <alignment horizontal="center" vertical="center"/>
    </xf>
    <xf numFmtId="4" fontId="43" fillId="2" borderId="3" xfId="0" applyNumberFormat="1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 wrapText="1"/>
    </xf>
    <xf numFmtId="0" fontId="32" fillId="0" borderId="3" xfId="0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center" vertical="center" wrapText="1"/>
    </xf>
    <xf numFmtId="0" fontId="34" fillId="0" borderId="20" xfId="0" applyFont="1" applyBorder="1"/>
    <xf numFmtId="4" fontId="34" fillId="0" borderId="20" xfId="0" applyNumberFormat="1" applyFont="1" applyBorder="1"/>
    <xf numFmtId="3" fontId="45" fillId="36" borderId="14" xfId="16" applyNumberFormat="1" applyFont="1" applyFill="1" applyAlignment="1">
      <alignment horizontal="center" vertical="center"/>
    </xf>
    <xf numFmtId="3" fontId="45" fillId="36" borderId="14" xfId="16" applyNumberFormat="1" applyFont="1" applyFill="1" applyAlignment="1">
      <alignment horizontal="left" vertical="center"/>
    </xf>
    <xf numFmtId="3" fontId="45" fillId="36" borderId="0" xfId="43" applyNumberFormat="1" applyFont="1" applyFill="1" applyAlignment="1">
      <alignment horizontal="center" vertical="center"/>
    </xf>
    <xf numFmtId="4" fontId="45" fillId="36" borderId="0" xfId="43" applyNumberFormat="1" applyFont="1" applyFill="1" applyAlignment="1">
      <alignment horizontal="center" vertical="center"/>
    </xf>
    <xf numFmtId="3" fontId="45" fillId="0" borderId="0" xfId="43" applyNumberFormat="1" applyFont="1" applyAlignment="1">
      <alignment horizontal="left" wrapText="1"/>
    </xf>
    <xf numFmtId="3" fontId="45" fillId="0" borderId="0" xfId="43" applyNumberFormat="1" applyFont="1" applyAlignment="1">
      <alignment horizontal="center" vertical="center"/>
    </xf>
    <xf numFmtId="4" fontId="45" fillId="0" borderId="0" xfId="43" applyNumberFormat="1" applyFont="1" applyAlignment="1">
      <alignment horizontal="center" vertical="center"/>
    </xf>
    <xf numFmtId="0" fontId="45" fillId="0" borderId="3" xfId="43" applyFont="1" applyBorder="1" applyAlignment="1">
      <alignment vertical="center" wrapText="1"/>
    </xf>
    <xf numFmtId="0" fontId="45" fillId="0" borderId="3" xfId="43" applyFont="1" applyBorder="1" applyAlignment="1">
      <alignment vertical="center"/>
    </xf>
    <xf numFmtId="0" fontId="45" fillId="0" borderId="3" xfId="43" applyFont="1" applyBorder="1" applyAlignment="1">
      <alignment horizontal="center" vertical="center" wrapText="1"/>
    </xf>
    <xf numFmtId="3" fontId="45" fillId="0" borderId="3" xfId="43" applyNumberFormat="1" applyFont="1" applyBorder="1" applyAlignment="1">
      <alignment horizontal="center" vertical="center" wrapText="1"/>
    </xf>
    <xf numFmtId="4" fontId="45" fillId="0" borderId="3" xfId="43" quotePrefix="1" applyNumberFormat="1" applyFont="1" applyBorder="1" applyAlignment="1">
      <alignment horizontal="center" vertical="center" wrapText="1"/>
    </xf>
    <xf numFmtId="0" fontId="45" fillId="0" borderId="3" xfId="43" applyFont="1" applyBorder="1" applyAlignment="1">
      <alignment horizontal="center" vertical="center"/>
    </xf>
    <xf numFmtId="3" fontId="46" fillId="0" borderId="3" xfId="43" quotePrefix="1" applyNumberFormat="1" applyFont="1" applyBorder="1" applyAlignment="1">
      <alignment horizontal="center" vertical="center" wrapText="1"/>
    </xf>
    <xf numFmtId="0" fontId="46" fillId="0" borderId="3" xfId="43" quotePrefix="1" applyFont="1" applyBorder="1" applyAlignment="1">
      <alignment horizontal="left"/>
    </xf>
    <xf numFmtId="0" fontId="46" fillId="0" borderId="3" xfId="43" applyFont="1" applyBorder="1" applyAlignment="1">
      <alignment vertical="center"/>
    </xf>
    <xf numFmtId="4" fontId="46" fillId="0" borderId="3" xfId="43" applyNumberFormat="1" applyFont="1" applyBorder="1" applyAlignment="1">
      <alignment vertical="center"/>
    </xf>
    <xf numFmtId="4" fontId="46" fillId="0" borderId="3" xfId="43" quotePrefix="1" applyNumberFormat="1" applyFont="1" applyBorder="1" applyAlignment="1">
      <alignment vertical="center"/>
    </xf>
    <xf numFmtId="4" fontId="46" fillId="0" borderId="3" xfId="43" quotePrefix="1" applyNumberFormat="1" applyFont="1" applyBorder="1" applyAlignment="1">
      <alignment horizontal="center" vertical="center"/>
    </xf>
    <xf numFmtId="0" fontId="34" fillId="0" borderId="3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2" fontId="46" fillId="0" borderId="3" xfId="43" applyNumberFormat="1" applyFont="1" applyBorder="1" applyAlignment="1">
      <alignment vertical="center"/>
    </xf>
    <xf numFmtId="0" fontId="37" fillId="0" borderId="0" xfId="0" applyFont="1" applyAlignment="1">
      <alignment horizontal="left"/>
    </xf>
    <xf numFmtId="4" fontId="37" fillId="0" borderId="0" xfId="0" applyNumberFormat="1" applyFont="1" applyAlignment="1">
      <alignment horizontal="center"/>
    </xf>
    <xf numFmtId="0" fontId="46" fillId="0" borderId="3" xfId="43" applyFont="1" applyBorder="1" applyAlignment="1">
      <alignment horizontal="left" vertical="center" wrapText="1"/>
    </xf>
    <xf numFmtId="4" fontId="46" fillId="0" borderId="3" xfId="43" applyNumberFormat="1" applyFont="1" applyBorder="1" applyAlignment="1">
      <alignment horizontal="right" vertical="center" wrapText="1"/>
    </xf>
    <xf numFmtId="4" fontId="46" fillId="0" borderId="3" xfId="43" quotePrefix="1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wrapText="1"/>
    </xf>
    <xf numFmtId="0" fontId="37" fillId="0" borderId="3" xfId="0" applyFont="1" applyBorder="1"/>
    <xf numFmtId="0" fontId="37" fillId="36" borderId="14" xfId="16" applyFont="1" applyFill="1" applyAlignment="1">
      <alignment horizontal="left"/>
    </xf>
    <xf numFmtId="0" fontId="37" fillId="36" borderId="14" xfId="16" applyFont="1" applyFill="1"/>
    <xf numFmtId="0" fontId="46" fillId="0" borderId="3" xfId="43" applyFont="1" applyBorder="1" applyAlignment="1">
      <alignment horizontal="center" vertical="center" wrapText="1"/>
    </xf>
    <xf numFmtId="0" fontId="46" fillId="0" borderId="3" xfId="43" applyFont="1" applyBorder="1" applyAlignment="1">
      <alignment horizontal="center" vertical="center"/>
    </xf>
    <xf numFmtId="3" fontId="46" fillId="0" borderId="3" xfId="43" applyNumberFormat="1" applyFont="1" applyBorder="1" applyAlignment="1">
      <alignment horizontal="center" vertical="center" wrapText="1"/>
    </xf>
    <xf numFmtId="0" fontId="37" fillId="0" borderId="0" xfId="0" applyFont="1"/>
    <xf numFmtId="4" fontId="37" fillId="36" borderId="0" xfId="0" applyNumberFormat="1" applyFont="1" applyFill="1"/>
    <xf numFmtId="4" fontId="37" fillId="36" borderId="0" xfId="0" applyNumberFormat="1" applyFont="1" applyFill="1" applyAlignment="1">
      <alignment horizontal="center"/>
    </xf>
    <xf numFmtId="0" fontId="45" fillId="0" borderId="17" xfId="43" applyFont="1" applyBorder="1" applyAlignment="1">
      <alignment vertical="center" wrapText="1"/>
    </xf>
    <xf numFmtId="0" fontId="45" fillId="0" borderId="17" xfId="43" applyFont="1" applyBorder="1" applyAlignment="1">
      <alignment vertical="center"/>
    </xf>
    <xf numFmtId="3" fontId="45" fillId="0" borderId="17" xfId="43" applyNumberFormat="1" applyFont="1" applyBorder="1" applyAlignment="1">
      <alignment horizontal="center" vertical="center" wrapText="1"/>
    </xf>
    <xf numFmtId="4" fontId="45" fillId="0" borderId="17" xfId="43" quotePrefix="1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wrapText="1"/>
    </xf>
    <xf numFmtId="4" fontId="38" fillId="0" borderId="3" xfId="0" applyNumberFormat="1" applyFont="1" applyBorder="1" applyAlignment="1">
      <alignment horizontal="center"/>
    </xf>
    <xf numFmtId="4" fontId="53" fillId="0" borderId="3" xfId="0" applyNumberFormat="1" applyFont="1" applyBorder="1" applyAlignment="1">
      <alignment horizontal="center"/>
    </xf>
    <xf numFmtId="4" fontId="37" fillId="0" borderId="3" xfId="0" applyNumberFormat="1" applyFont="1" applyBorder="1" applyAlignment="1">
      <alignment wrapText="1"/>
    </xf>
    <xf numFmtId="0" fontId="34" fillId="0" borderId="0" xfId="0" applyFont="1" applyAlignment="1">
      <alignment wrapText="1"/>
    </xf>
    <xf numFmtId="4" fontId="34" fillId="0" borderId="0" xfId="0" applyNumberFormat="1" applyFont="1" applyAlignment="1">
      <alignment horizontal="center"/>
    </xf>
    <xf numFmtId="0" fontId="37" fillId="35" borderId="0" xfId="0" applyFont="1" applyFill="1" applyAlignment="1">
      <alignment horizontal="left"/>
    </xf>
    <xf numFmtId="4" fontId="37" fillId="35" borderId="0" xfId="0" applyNumberFormat="1" applyFont="1" applyFill="1"/>
    <xf numFmtId="4" fontId="37" fillId="35" borderId="0" xfId="0" applyNumberFormat="1" applyFont="1" applyFill="1" applyAlignment="1">
      <alignment horizontal="center"/>
    </xf>
    <xf numFmtId="0" fontId="45" fillId="35" borderId="3" xfId="43" applyFont="1" applyFill="1" applyBorder="1" applyAlignment="1">
      <alignment vertical="center" wrapText="1"/>
    </xf>
    <xf numFmtId="0" fontId="45" fillId="35" borderId="3" xfId="43" applyFont="1" applyFill="1" applyBorder="1" applyAlignment="1">
      <alignment vertical="center"/>
    </xf>
    <xf numFmtId="3" fontId="45" fillId="35" borderId="3" xfId="43" applyNumberFormat="1" applyFont="1" applyFill="1" applyBorder="1" applyAlignment="1">
      <alignment horizontal="center" vertical="center" wrapText="1"/>
    </xf>
    <xf numFmtId="4" fontId="45" fillId="35" borderId="3" xfId="43" quotePrefix="1" applyNumberFormat="1" applyFont="1" applyFill="1" applyBorder="1" applyAlignment="1">
      <alignment horizontal="center" vertical="center" wrapText="1"/>
    </xf>
    <xf numFmtId="0" fontId="34" fillId="35" borderId="3" xfId="0" applyFont="1" applyFill="1" applyBorder="1" applyAlignment="1">
      <alignment horizontal="left"/>
    </xf>
    <xf numFmtId="0" fontId="34" fillId="35" borderId="3" xfId="0" applyFont="1" applyFill="1" applyBorder="1" applyAlignment="1">
      <alignment wrapText="1"/>
    </xf>
    <xf numFmtId="4" fontId="34" fillId="35" borderId="3" xfId="0" applyNumberFormat="1" applyFont="1" applyFill="1" applyBorder="1"/>
    <xf numFmtId="4" fontId="34" fillId="35" borderId="3" xfId="0" applyNumberFormat="1" applyFont="1" applyFill="1" applyBorder="1" applyAlignment="1">
      <alignment horizontal="center"/>
    </xf>
    <xf numFmtId="0" fontId="37" fillId="35" borderId="3" xfId="0" applyFont="1" applyFill="1" applyBorder="1" applyAlignment="1">
      <alignment horizontal="left"/>
    </xf>
    <xf numFmtId="0" fontId="37" fillId="35" borderId="3" xfId="0" applyFont="1" applyFill="1" applyBorder="1"/>
    <xf numFmtId="4" fontId="37" fillId="35" borderId="3" xfId="0" applyNumberFormat="1" applyFont="1" applyFill="1" applyBorder="1"/>
    <xf numFmtId="4" fontId="37" fillId="35" borderId="3" xfId="0" applyNumberFormat="1" applyFont="1" applyFill="1" applyBorder="1" applyAlignment="1">
      <alignment horizontal="center"/>
    </xf>
    <xf numFmtId="4" fontId="46" fillId="0" borderId="3" xfId="0" applyNumberFormat="1" applyFont="1" applyBorder="1" applyAlignment="1">
      <alignment horizontal="center"/>
    </xf>
    <xf numFmtId="4" fontId="46" fillId="35" borderId="3" xfId="0" applyNumberFormat="1" applyFont="1" applyFill="1" applyBorder="1"/>
    <xf numFmtId="4" fontId="45" fillId="35" borderId="3" xfId="0" applyNumberFormat="1" applyFont="1" applyFill="1" applyBorder="1"/>
    <xf numFmtId="0" fontId="45" fillId="35" borderId="3" xfId="43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4" fontId="48" fillId="3" borderId="17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3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0" borderId="4" xfId="0" quotePrefix="1" applyFont="1" applyBorder="1" applyAlignment="1">
      <alignment horizontal="left" vertical="center"/>
    </xf>
    <xf numFmtId="0" fontId="46" fillId="2" borderId="22" xfId="0" quotePrefix="1" applyFont="1" applyFill="1" applyBorder="1" applyAlignment="1">
      <alignment horizontal="left" vertical="center"/>
    </xf>
    <xf numFmtId="0" fontId="46" fillId="2" borderId="23" xfId="0" quotePrefix="1" applyFont="1" applyFill="1" applyBorder="1" applyAlignment="1">
      <alignment horizontal="left" vertical="center" wrapText="1"/>
    </xf>
    <xf numFmtId="4" fontId="47" fillId="2" borderId="16" xfId="0" applyNumberFormat="1" applyFont="1" applyFill="1" applyBorder="1" applyAlignment="1">
      <alignment horizontal="right"/>
    </xf>
    <xf numFmtId="4" fontId="34" fillId="0" borderId="16" xfId="0" applyNumberFormat="1" applyFont="1" applyBorder="1"/>
    <xf numFmtId="0" fontId="45" fillId="2" borderId="16" xfId="0" quotePrefix="1" applyFont="1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right" wrapText="1"/>
    </xf>
    <xf numFmtId="4" fontId="8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4" fontId="44" fillId="38" borderId="3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13" fillId="0" borderId="3" xfId="0" quotePrefix="1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3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left" vertical="center"/>
    </xf>
    <xf numFmtId="0" fontId="8" fillId="0" borderId="4" xfId="0" quotePrefix="1" applyFont="1" applyBorder="1" applyAlignment="1">
      <alignment horizontal="left" vertical="center"/>
    </xf>
    <xf numFmtId="0" fontId="5" fillId="3" borderId="4" xfId="0" quotePrefix="1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39" fillId="3" borderId="4" xfId="0" applyFont="1" applyFill="1" applyBorder="1" applyAlignment="1">
      <alignment horizontal="center" vertical="center" wrapText="1"/>
    </xf>
    <xf numFmtId="0" fontId="48" fillId="3" borderId="29" xfId="0" applyFont="1" applyFill="1" applyBorder="1" applyAlignment="1">
      <alignment horizontal="center" vertical="center" wrapText="1"/>
    </xf>
    <xf numFmtId="0" fontId="48" fillId="3" borderId="5" xfId="0" applyFont="1" applyFill="1" applyBorder="1" applyAlignment="1">
      <alignment horizontal="center" vertical="center" wrapText="1"/>
    </xf>
    <xf numFmtId="0" fontId="48" fillId="3" borderId="30" xfId="0" applyFont="1" applyFill="1" applyBorder="1" applyAlignment="1">
      <alignment horizontal="center" vertical="center" wrapText="1"/>
    </xf>
    <xf numFmtId="0" fontId="50" fillId="0" borderId="24" xfId="0" quotePrefix="1" applyFont="1" applyBorder="1" applyAlignment="1">
      <alignment horizontal="center" vertical="center"/>
    </xf>
    <xf numFmtId="0" fontId="50" fillId="0" borderId="25" xfId="0" quotePrefix="1" applyFont="1" applyBorder="1" applyAlignment="1">
      <alignment horizontal="center" vertical="center"/>
    </xf>
    <xf numFmtId="0" fontId="50" fillId="0" borderId="26" xfId="0" quotePrefix="1" applyFont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8" fillId="2" borderId="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3" fontId="45" fillId="0" borderId="18" xfId="43" applyNumberFormat="1" applyFont="1" applyBorder="1" applyAlignment="1">
      <alignment horizontal="left" wrapText="1"/>
    </xf>
    <xf numFmtId="0" fontId="37" fillId="0" borderId="19" xfId="0" applyFont="1" applyBorder="1" applyAlignment="1">
      <alignment horizontal="left" vertical="center" wrapText="1"/>
    </xf>
    <xf numFmtId="3" fontId="45" fillId="0" borderId="21" xfId="16" applyNumberFormat="1" applyFont="1" applyFill="1" applyBorder="1" applyAlignment="1">
      <alignment horizontal="left" vertical="center" wrapText="1"/>
    </xf>
    <xf numFmtId="3" fontId="45" fillId="0" borderId="0" xfId="16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bično 2" xfId="43"/>
    <cellStyle name="Obično 3" xfId="44"/>
    <cellStyle name="Obično_List4" xfId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7"/>
  <sheetViews>
    <sheetView tabSelected="1" topLeftCell="B1" zoomScaleNormal="100" workbookViewId="0">
      <selection activeCell="J4" sqref="J4"/>
    </sheetView>
  </sheetViews>
  <sheetFormatPr defaultRowHeight="15"/>
  <cols>
    <col min="6" max="6" width="25.28515625" customWidth="1"/>
    <col min="7" max="7" width="19.28515625" customWidth="1"/>
    <col min="8" max="8" width="25.28515625" customWidth="1"/>
    <col min="9" max="9" width="33" customWidth="1"/>
    <col min="10" max="10" width="25.28515625" customWidth="1"/>
  </cols>
  <sheetData>
    <row r="1" spans="2:10" ht="42" customHeight="1">
      <c r="B1" s="240" t="s">
        <v>233</v>
      </c>
      <c r="C1" s="240"/>
      <c r="D1" s="240"/>
      <c r="E1" s="240"/>
      <c r="F1" s="240"/>
      <c r="G1" s="240"/>
      <c r="H1" s="240"/>
      <c r="I1" s="240"/>
      <c r="J1" s="9"/>
    </row>
    <row r="2" spans="2:10" ht="11.25" customHeight="1">
      <c r="B2" s="207"/>
      <c r="C2" s="207"/>
      <c r="D2" s="207"/>
      <c r="E2" s="207"/>
      <c r="F2" s="207"/>
      <c r="G2" s="207"/>
      <c r="H2" s="207"/>
      <c r="I2" s="207"/>
      <c r="J2" s="9"/>
    </row>
    <row r="3" spans="2:10" ht="18" customHeight="1">
      <c r="B3" s="287" t="s">
        <v>217</v>
      </c>
      <c r="C3" s="287"/>
      <c r="D3" s="287"/>
      <c r="E3" s="287"/>
      <c r="F3" s="287"/>
      <c r="G3" s="287"/>
      <c r="H3" s="287"/>
      <c r="I3" s="287"/>
      <c r="J3" s="3"/>
    </row>
    <row r="4" spans="2:10" ht="18" customHeight="1">
      <c r="B4" s="22"/>
      <c r="C4" s="22"/>
      <c r="D4" s="22"/>
      <c r="E4" s="22"/>
      <c r="F4" s="22"/>
      <c r="G4" s="22"/>
      <c r="H4" s="22"/>
      <c r="I4" s="22"/>
      <c r="J4" s="3"/>
    </row>
    <row r="5" spans="2:10" ht="15.75" customHeight="1">
      <c r="B5" s="250" t="s">
        <v>8</v>
      </c>
      <c r="C5" s="250"/>
      <c r="D5" s="250"/>
      <c r="E5" s="250"/>
      <c r="F5" s="250"/>
      <c r="G5" s="250"/>
      <c r="H5" s="250"/>
      <c r="I5" s="250"/>
      <c r="J5" s="8"/>
    </row>
    <row r="6" spans="2:10" ht="18">
      <c r="B6" s="248"/>
      <c r="C6" s="248"/>
      <c r="D6" s="248"/>
      <c r="E6" s="248"/>
      <c r="F6" s="248"/>
      <c r="G6" s="248"/>
      <c r="H6" s="248"/>
      <c r="I6" s="248"/>
      <c r="J6" s="4"/>
    </row>
    <row r="7" spans="2:10" ht="18" customHeight="1">
      <c r="B7" s="249" t="s">
        <v>32</v>
      </c>
      <c r="C7" s="249"/>
      <c r="D7" s="249"/>
      <c r="E7" s="249"/>
      <c r="F7" s="249"/>
      <c r="G7" s="249"/>
      <c r="H7" s="249"/>
      <c r="I7" s="249"/>
      <c r="J7" s="7"/>
    </row>
    <row r="8" spans="2:10" ht="18" customHeight="1">
      <c r="B8" s="249"/>
      <c r="C8" s="249"/>
      <c r="D8" s="249"/>
      <c r="E8" s="249"/>
      <c r="F8" s="249"/>
      <c r="G8" s="249"/>
      <c r="H8" s="249"/>
      <c r="I8" s="249"/>
      <c r="J8" s="7"/>
    </row>
    <row r="9" spans="2:10" ht="18" customHeight="1">
      <c r="B9" s="255" t="s">
        <v>37</v>
      </c>
      <c r="C9" s="255"/>
      <c r="D9" s="255"/>
      <c r="E9" s="255"/>
      <c r="F9" s="255"/>
      <c r="G9" s="220"/>
      <c r="H9" s="21"/>
      <c r="I9" s="21"/>
    </row>
    <row r="10" spans="2:10" ht="25.5">
      <c r="B10" s="233" t="s">
        <v>7</v>
      </c>
      <c r="C10" s="233"/>
      <c r="D10" s="233"/>
      <c r="E10" s="233"/>
      <c r="F10" s="233"/>
      <c r="G10" s="10"/>
      <c r="H10" s="10" t="s">
        <v>29</v>
      </c>
      <c r="I10" s="10" t="s">
        <v>39</v>
      </c>
    </row>
    <row r="11" spans="2:10">
      <c r="B11" s="246">
        <v>1</v>
      </c>
      <c r="C11" s="246"/>
      <c r="D11" s="246"/>
      <c r="E11" s="246"/>
      <c r="F11" s="247"/>
      <c r="G11" s="218"/>
      <c r="H11" s="13">
        <v>2</v>
      </c>
      <c r="I11" s="13">
        <v>3</v>
      </c>
    </row>
    <row r="12" spans="2:10" ht="15.75">
      <c r="B12" s="231" t="s">
        <v>16</v>
      </c>
      <c r="C12" s="232"/>
      <c r="D12" s="232"/>
      <c r="E12" s="232"/>
      <c r="F12" s="244"/>
      <c r="G12" s="217"/>
      <c r="H12" s="98">
        <v>961473.04</v>
      </c>
      <c r="I12" s="208">
        <v>831305.69</v>
      </c>
    </row>
    <row r="13" spans="2:10">
      <c r="B13" s="245" t="s">
        <v>15</v>
      </c>
      <c r="C13" s="244"/>
      <c r="D13" s="244"/>
      <c r="E13" s="244"/>
      <c r="F13" s="244"/>
      <c r="G13" s="217"/>
      <c r="H13" s="208"/>
      <c r="I13" s="208"/>
    </row>
    <row r="14" spans="2:10">
      <c r="B14" s="245" t="s">
        <v>218</v>
      </c>
      <c r="C14" s="257"/>
      <c r="D14" s="257"/>
      <c r="E14" s="257"/>
      <c r="F14" s="258"/>
      <c r="G14" s="221"/>
      <c r="H14" s="208">
        <v>1839.2</v>
      </c>
      <c r="I14" s="208">
        <v>-10402.11</v>
      </c>
    </row>
    <row r="15" spans="2:10">
      <c r="B15" s="241" t="s">
        <v>0</v>
      </c>
      <c r="C15" s="242"/>
      <c r="D15" s="242"/>
      <c r="E15" s="242"/>
      <c r="F15" s="243"/>
      <c r="G15" s="20"/>
      <c r="H15" s="209">
        <f>SUM(H12:H14)</f>
        <v>963312.24</v>
      </c>
      <c r="I15" s="209">
        <f>I12+I14</f>
        <v>820903.58</v>
      </c>
    </row>
    <row r="16" spans="2:10">
      <c r="B16" s="254" t="s">
        <v>17</v>
      </c>
      <c r="C16" s="232"/>
      <c r="D16" s="232"/>
      <c r="E16" s="232"/>
      <c r="F16" s="232"/>
      <c r="G16" s="213"/>
      <c r="H16" s="208"/>
      <c r="I16" s="227">
        <v>807764.42</v>
      </c>
    </row>
    <row r="17" spans="1:46">
      <c r="B17" s="245" t="s">
        <v>18</v>
      </c>
      <c r="C17" s="244"/>
      <c r="D17" s="244"/>
      <c r="E17" s="244"/>
      <c r="F17" s="244"/>
      <c r="G17" s="217"/>
      <c r="H17" s="208"/>
      <c r="I17" s="227">
        <v>37224.559999999998</v>
      </c>
    </row>
    <row r="18" spans="1:46">
      <c r="B18" s="6" t="s">
        <v>1</v>
      </c>
      <c r="C18" s="20"/>
      <c r="D18" s="20"/>
      <c r="E18" s="20"/>
      <c r="F18" s="20"/>
      <c r="G18" s="20"/>
      <c r="H18" s="209">
        <v>963312.23999999987</v>
      </c>
      <c r="I18" s="209">
        <f>I16+I17</f>
        <v>844988.98</v>
      </c>
    </row>
    <row r="19" spans="1:46">
      <c r="B19" s="253" t="s">
        <v>2</v>
      </c>
      <c r="C19" s="242"/>
      <c r="D19" s="242"/>
      <c r="E19" s="242"/>
      <c r="F19" s="242"/>
      <c r="G19" s="216"/>
      <c r="H19" s="210"/>
      <c r="I19" s="210">
        <f>I15-I18</f>
        <v>-24085.400000000023</v>
      </c>
    </row>
    <row r="20" spans="1:46" ht="18">
      <c r="B20" s="256"/>
      <c r="C20" s="256"/>
      <c r="D20" s="256"/>
      <c r="E20" s="256"/>
      <c r="F20" s="256"/>
      <c r="G20" s="256"/>
      <c r="H20" s="256"/>
      <c r="I20" s="256"/>
      <c r="J20" s="1"/>
    </row>
    <row r="21" spans="1:46" ht="18" customHeight="1">
      <c r="B21" s="251" t="s">
        <v>34</v>
      </c>
      <c r="C21" s="251"/>
      <c r="D21" s="251"/>
      <c r="E21" s="251"/>
      <c r="F21" s="251"/>
      <c r="G21" s="212"/>
      <c r="H21" s="21"/>
      <c r="I21" s="21"/>
      <c r="J21" s="1"/>
    </row>
    <row r="22" spans="1:46" ht="25.5">
      <c r="B22" s="233" t="s">
        <v>7</v>
      </c>
      <c r="C22" s="233"/>
      <c r="D22" s="233"/>
      <c r="E22" s="233"/>
      <c r="F22" s="233"/>
      <c r="G22" s="10"/>
      <c r="H22" s="2" t="s">
        <v>29</v>
      </c>
      <c r="I22" s="2" t="s">
        <v>39</v>
      </c>
    </row>
    <row r="23" spans="1:46">
      <c r="B23" s="234">
        <v>1</v>
      </c>
      <c r="C23" s="235"/>
      <c r="D23" s="235"/>
      <c r="E23" s="235"/>
      <c r="F23" s="235"/>
      <c r="G23" s="214"/>
      <c r="H23" s="13">
        <v>4</v>
      </c>
      <c r="I23" s="13">
        <v>5</v>
      </c>
    </row>
    <row r="24" spans="1:46" ht="15.75" customHeight="1">
      <c r="B24" s="231" t="s">
        <v>19</v>
      </c>
      <c r="C24" s="236"/>
      <c r="D24" s="236"/>
      <c r="E24" s="236"/>
      <c r="F24" s="236"/>
      <c r="G24" s="215"/>
      <c r="H24" s="5"/>
      <c r="I24" s="5"/>
    </row>
    <row r="25" spans="1:46">
      <c r="B25" s="231" t="s">
        <v>20</v>
      </c>
      <c r="C25" s="232"/>
      <c r="D25" s="232"/>
      <c r="E25" s="232"/>
      <c r="F25" s="232"/>
      <c r="G25" s="213"/>
      <c r="H25" s="5"/>
      <c r="I25" s="5"/>
    </row>
    <row r="26" spans="1:46" ht="15" customHeight="1">
      <c r="B26" s="237" t="s">
        <v>31</v>
      </c>
      <c r="C26" s="238"/>
      <c r="D26" s="238"/>
      <c r="E26" s="238"/>
      <c r="F26" s="259"/>
      <c r="G26" s="211"/>
      <c r="H26" s="14"/>
      <c r="I26" s="14"/>
    </row>
    <row r="27" spans="1:46" s="15" customFormat="1" ht="15" customHeight="1">
      <c r="A27"/>
      <c r="B27" s="231" t="s">
        <v>11</v>
      </c>
      <c r="C27" s="232"/>
      <c r="D27" s="232"/>
      <c r="E27" s="232"/>
      <c r="F27" s="232"/>
      <c r="G27" s="213"/>
      <c r="H27" s="5"/>
      <c r="I27" s="5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15" customFormat="1" ht="15" customHeight="1">
      <c r="A28"/>
      <c r="B28" s="231" t="s">
        <v>33</v>
      </c>
      <c r="C28" s="232"/>
      <c r="D28" s="232"/>
      <c r="E28" s="232"/>
      <c r="F28" s="232"/>
      <c r="G28" s="213"/>
      <c r="H28" s="5"/>
      <c r="I28" s="5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9" customFormat="1">
      <c r="A29" s="17"/>
      <c r="B29" s="237" t="s">
        <v>35</v>
      </c>
      <c r="C29" s="238"/>
      <c r="D29" s="238"/>
      <c r="E29" s="238"/>
      <c r="F29" s="259"/>
      <c r="G29" s="211"/>
      <c r="H29" s="18"/>
      <c r="I29" s="18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15.75">
      <c r="B30" s="252" t="s">
        <v>36</v>
      </c>
      <c r="C30" s="252"/>
      <c r="D30" s="252"/>
      <c r="E30" s="252"/>
      <c r="F30" s="252"/>
      <c r="G30" s="219"/>
      <c r="H30" s="16"/>
      <c r="I30" s="16"/>
    </row>
    <row r="33" spans="2:9" ht="41.45" customHeight="1">
      <c r="B33" s="239" t="s">
        <v>222</v>
      </c>
      <c r="C33" s="239"/>
      <c r="D33" s="239"/>
      <c r="E33" s="239"/>
      <c r="F33" s="11"/>
      <c r="G33" s="11"/>
      <c r="H33" s="11"/>
      <c r="I33" s="11"/>
    </row>
    <row r="34" spans="2:9" ht="25.5">
      <c r="B34" s="233" t="s">
        <v>7</v>
      </c>
      <c r="C34" s="233"/>
      <c r="D34" s="233"/>
      <c r="E34" s="233"/>
      <c r="F34" s="233"/>
      <c r="G34" s="10" t="s">
        <v>224</v>
      </c>
      <c r="H34" s="2" t="s">
        <v>178</v>
      </c>
      <c r="I34" s="2" t="s">
        <v>223</v>
      </c>
    </row>
    <row r="35" spans="2:9">
      <c r="B35" s="234">
        <v>1</v>
      </c>
      <c r="C35" s="235"/>
      <c r="D35" s="235"/>
      <c r="E35" s="235"/>
      <c r="F35" s="235"/>
      <c r="G35" s="214"/>
      <c r="H35" s="13">
        <v>2</v>
      </c>
      <c r="I35" s="13">
        <v>3</v>
      </c>
    </row>
    <row r="36" spans="2:9">
      <c r="B36" s="231" t="s">
        <v>225</v>
      </c>
      <c r="C36" s="236"/>
      <c r="D36" s="236"/>
      <c r="E36" s="236"/>
      <c r="F36" s="236"/>
      <c r="G36" s="228">
        <v>-10402.111000000001</v>
      </c>
      <c r="H36" s="208">
        <v>1839.2</v>
      </c>
      <c r="I36" s="208">
        <v>-24085.4</v>
      </c>
    </row>
    <row r="37" spans="2:9">
      <c r="B37" s="231"/>
      <c r="C37" s="232"/>
      <c r="D37" s="232"/>
      <c r="E37" s="232"/>
      <c r="F37" s="232"/>
      <c r="G37" s="229"/>
      <c r="H37" s="5"/>
      <c r="I37" s="5"/>
    </row>
    <row r="38" spans="2:9">
      <c r="B38" s="237" t="s">
        <v>226</v>
      </c>
      <c r="C38" s="238"/>
      <c r="D38" s="238"/>
      <c r="E38" s="238"/>
      <c r="F38" s="238"/>
      <c r="G38" s="228">
        <v>-10402.111000000001</v>
      </c>
      <c r="H38" s="208">
        <v>1839.2</v>
      </c>
      <c r="I38" s="208">
        <v>-24085.4</v>
      </c>
    </row>
    <row r="39" spans="2:9">
      <c r="B39" s="231"/>
      <c r="C39" s="232"/>
      <c r="D39" s="232"/>
      <c r="E39" s="232"/>
      <c r="F39" s="232"/>
      <c r="G39" s="213"/>
      <c r="H39" s="5"/>
      <c r="I39" s="5"/>
    </row>
    <row r="42" spans="2:9" ht="25.5">
      <c r="B42" s="233" t="s">
        <v>7</v>
      </c>
      <c r="C42" s="233"/>
      <c r="D42" s="233"/>
      <c r="E42" s="233"/>
      <c r="F42" s="233"/>
      <c r="G42" s="10" t="s">
        <v>224</v>
      </c>
      <c r="H42" s="2" t="s">
        <v>178</v>
      </c>
      <c r="I42" s="2" t="s">
        <v>223</v>
      </c>
    </row>
    <row r="43" spans="2:9">
      <c r="B43" s="234">
        <v>1</v>
      </c>
      <c r="C43" s="235"/>
      <c r="D43" s="235"/>
      <c r="E43" s="235"/>
      <c r="F43" s="235"/>
      <c r="G43" s="214"/>
      <c r="H43" s="13">
        <v>2</v>
      </c>
      <c r="I43" s="13">
        <v>3</v>
      </c>
    </row>
    <row r="44" spans="2:9">
      <c r="B44" s="231" t="s">
        <v>228</v>
      </c>
      <c r="C44" s="236"/>
      <c r="D44" s="236"/>
      <c r="E44" s="236"/>
      <c r="F44" s="236"/>
      <c r="G44" s="228">
        <v>1839.2</v>
      </c>
      <c r="H44" s="208">
        <v>1839.2</v>
      </c>
      <c r="I44" s="208">
        <v>16615.07</v>
      </c>
    </row>
    <row r="45" spans="2:9">
      <c r="B45" s="231"/>
      <c r="C45" s="232"/>
      <c r="D45" s="232"/>
      <c r="E45" s="232"/>
      <c r="F45" s="232"/>
      <c r="G45" s="229"/>
      <c r="H45" s="5"/>
      <c r="I45" s="5"/>
    </row>
    <row r="46" spans="2:9">
      <c r="B46" s="237" t="s">
        <v>226</v>
      </c>
      <c r="C46" s="238"/>
      <c r="D46" s="238"/>
      <c r="E46" s="238"/>
      <c r="F46" s="238"/>
      <c r="G46" s="228">
        <v>1839.2</v>
      </c>
      <c r="H46" s="208">
        <v>1839.2</v>
      </c>
      <c r="I46" s="208">
        <v>16615.07</v>
      </c>
    </row>
    <row r="47" spans="2:9">
      <c r="B47" s="231"/>
      <c r="C47" s="232"/>
      <c r="D47" s="232"/>
      <c r="E47" s="232"/>
      <c r="F47" s="232"/>
      <c r="G47" s="213"/>
      <c r="H47" s="5"/>
      <c r="I47" s="5"/>
    </row>
  </sheetData>
  <mergeCells count="40">
    <mergeCell ref="B30:F30"/>
    <mergeCell ref="B17:F17"/>
    <mergeCell ref="B19:F19"/>
    <mergeCell ref="B16:F16"/>
    <mergeCell ref="B9:F9"/>
    <mergeCell ref="B20:I20"/>
    <mergeCell ref="B14:F14"/>
    <mergeCell ref="B29:F29"/>
    <mergeCell ref="B26:F26"/>
    <mergeCell ref="B27:F27"/>
    <mergeCell ref="B28:F28"/>
    <mergeCell ref="B1:I1"/>
    <mergeCell ref="B15:F15"/>
    <mergeCell ref="B25:F25"/>
    <mergeCell ref="B12:F12"/>
    <mergeCell ref="B13:F13"/>
    <mergeCell ref="B10:F10"/>
    <mergeCell ref="B11:F11"/>
    <mergeCell ref="B3:I3"/>
    <mergeCell ref="B6:I6"/>
    <mergeCell ref="B8:I8"/>
    <mergeCell ref="B7:I7"/>
    <mergeCell ref="B5:I5"/>
    <mergeCell ref="B21:F21"/>
    <mergeCell ref="B22:F22"/>
    <mergeCell ref="B23:F23"/>
    <mergeCell ref="B24:F24"/>
    <mergeCell ref="B39:F39"/>
    <mergeCell ref="B33:E33"/>
    <mergeCell ref="B34:F34"/>
    <mergeCell ref="B35:F35"/>
    <mergeCell ref="B36:F36"/>
    <mergeCell ref="B37:F37"/>
    <mergeCell ref="B38:F38"/>
    <mergeCell ref="B47:F47"/>
    <mergeCell ref="B42:F42"/>
    <mergeCell ref="B43:F43"/>
    <mergeCell ref="B44:F44"/>
    <mergeCell ref="B45:F45"/>
    <mergeCell ref="B46:F46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93"/>
  <sheetViews>
    <sheetView topLeftCell="B67" zoomScale="90" zoomScaleNormal="90" workbookViewId="0">
      <selection activeCell="B28" sqref="B28:F28"/>
    </sheetView>
  </sheetViews>
  <sheetFormatPr defaultRowHeight="1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8.5703125" customWidth="1"/>
    <col min="7" max="8" width="25.28515625" customWidth="1"/>
    <col min="9" max="9" width="25.28515625" style="27" customWidth="1"/>
    <col min="10" max="10" width="25.28515625" customWidth="1"/>
    <col min="11" max="11" width="15.7109375" customWidth="1"/>
    <col min="12" max="12" width="15.7109375" style="27" customWidth="1"/>
    <col min="13" max="13" width="11" bestFit="1" customWidth="1"/>
  </cols>
  <sheetData>
    <row r="1" spans="2:12" ht="15.75" thickBot="1"/>
    <row r="2" spans="2:12" ht="15.75" customHeight="1">
      <c r="B2" s="260" t="s">
        <v>215</v>
      </c>
      <c r="C2" s="261"/>
      <c r="D2" s="261"/>
      <c r="E2" s="261"/>
      <c r="F2" s="260" t="s">
        <v>216</v>
      </c>
      <c r="G2" s="261"/>
      <c r="H2" s="261"/>
      <c r="I2" s="261"/>
      <c r="J2" s="261"/>
      <c r="K2" s="261"/>
      <c r="L2" s="265"/>
    </row>
    <row r="3" spans="2:12" ht="15.75" customHeight="1">
      <c r="B3" s="262"/>
      <c r="C3" s="249"/>
      <c r="D3" s="249"/>
      <c r="E3" s="249"/>
      <c r="F3" s="262"/>
      <c r="G3" s="249"/>
      <c r="H3" s="249"/>
      <c r="I3" s="249"/>
      <c r="J3" s="249"/>
      <c r="K3" s="249"/>
      <c r="L3" s="266"/>
    </row>
    <row r="4" spans="2:12" ht="15.75" customHeight="1">
      <c r="B4" s="262"/>
      <c r="C4" s="249"/>
      <c r="D4" s="249"/>
      <c r="E4" s="249"/>
      <c r="F4" s="262"/>
      <c r="G4" s="249"/>
      <c r="H4" s="249"/>
      <c r="I4" s="249"/>
      <c r="J4" s="249"/>
      <c r="K4" s="249"/>
      <c r="L4" s="266"/>
    </row>
    <row r="5" spans="2:12" ht="18" customHeight="1" thickBot="1">
      <c r="B5" s="263"/>
      <c r="C5" s="264"/>
      <c r="D5" s="264"/>
      <c r="E5" s="264"/>
      <c r="F5" s="263"/>
      <c r="G5" s="264"/>
      <c r="H5" s="264"/>
      <c r="I5" s="264"/>
      <c r="J5" s="264"/>
      <c r="K5" s="264"/>
      <c r="L5" s="267"/>
    </row>
    <row r="6" spans="2:12" ht="45" customHeight="1">
      <c r="B6" s="274" t="s">
        <v>7</v>
      </c>
      <c r="C6" s="275"/>
      <c r="D6" s="275"/>
      <c r="E6" s="275"/>
      <c r="F6" s="276"/>
      <c r="G6" s="205" t="s">
        <v>188</v>
      </c>
      <c r="H6" s="205" t="s">
        <v>189</v>
      </c>
      <c r="I6" s="206" t="s">
        <v>178</v>
      </c>
      <c r="J6" s="205" t="s">
        <v>38</v>
      </c>
      <c r="K6" s="205" t="s">
        <v>14</v>
      </c>
      <c r="L6" s="206" t="s">
        <v>30</v>
      </c>
    </row>
    <row r="7" spans="2:12">
      <c r="B7" s="268">
        <v>1</v>
      </c>
      <c r="C7" s="269"/>
      <c r="D7" s="269"/>
      <c r="E7" s="269"/>
      <c r="F7" s="270"/>
      <c r="G7" s="41">
        <v>2</v>
      </c>
      <c r="H7" s="41">
        <v>3</v>
      </c>
      <c r="I7" s="78">
        <v>4</v>
      </c>
      <c r="J7" s="41">
        <v>5</v>
      </c>
      <c r="K7" s="41" t="s">
        <v>25</v>
      </c>
      <c r="L7" s="68" t="s">
        <v>26</v>
      </c>
    </row>
    <row r="8" spans="2:12" ht="28.5" customHeight="1">
      <c r="B8" s="43">
        <v>6</v>
      </c>
      <c r="C8" s="43"/>
      <c r="D8" s="43"/>
      <c r="E8" s="43"/>
      <c r="F8" s="43" t="s">
        <v>3</v>
      </c>
      <c r="G8" s="129">
        <v>919602.02800451254</v>
      </c>
      <c r="H8" s="129">
        <f>H9+H17+H20</f>
        <v>754733.04</v>
      </c>
      <c r="I8" s="129">
        <f>I9+I17+I20+I24</f>
        <v>961473.03999999992</v>
      </c>
      <c r="J8" s="129">
        <f>J9+J17+J20+J24</f>
        <v>831305.69</v>
      </c>
      <c r="K8" s="69">
        <f>J8/G8*100</f>
        <v>90.3984185206604</v>
      </c>
      <c r="L8" s="230">
        <f t="shared" ref="L8:L28" si="0">J8/I8*100</f>
        <v>86.461674473992531</v>
      </c>
    </row>
    <row r="9" spans="2:12" ht="28.5">
      <c r="B9" s="48"/>
      <c r="C9" s="48">
        <v>63</v>
      </c>
      <c r="D9" s="49"/>
      <c r="E9" s="49"/>
      <c r="F9" s="48" t="s">
        <v>10</v>
      </c>
      <c r="G9" s="83">
        <v>557652.39631030592</v>
      </c>
      <c r="H9" s="83">
        <f>H12+H15</f>
        <v>625744.01</v>
      </c>
      <c r="I9" s="83">
        <f>I12+I15</f>
        <v>692646.75</v>
      </c>
      <c r="J9" s="84">
        <f>J10+J12+J15</f>
        <v>671568.49</v>
      </c>
      <c r="K9" s="70">
        <f t="shared" ref="K9:K28" si="1">J9/G9*100</f>
        <v>120.42779596096371</v>
      </c>
      <c r="L9" s="70">
        <f t="shared" si="0"/>
        <v>96.956852825773026</v>
      </c>
    </row>
    <row r="10" spans="2:12" ht="29.25" customHeight="1">
      <c r="B10" s="53"/>
      <c r="C10" s="53"/>
      <c r="D10" s="53">
        <v>632</v>
      </c>
      <c r="E10" s="52"/>
      <c r="F10" s="53" t="s">
        <v>40</v>
      </c>
      <c r="G10" s="54">
        <v>0</v>
      </c>
      <c r="H10" s="54"/>
      <c r="I10" s="54">
        <v>0</v>
      </c>
      <c r="J10" s="47">
        <v>525.95000000000005</v>
      </c>
      <c r="K10" s="46"/>
      <c r="L10" s="46"/>
    </row>
    <row r="11" spans="2:12" ht="23.25" customHeight="1">
      <c r="B11" s="50"/>
      <c r="C11" s="50"/>
      <c r="D11" s="50"/>
      <c r="E11" s="50">
        <v>6322</v>
      </c>
      <c r="F11" s="50" t="s">
        <v>41</v>
      </c>
      <c r="G11" s="51">
        <v>0</v>
      </c>
      <c r="H11" s="51"/>
      <c r="I11" s="51">
        <v>0</v>
      </c>
      <c r="J11" s="45">
        <v>525.95000000000005</v>
      </c>
      <c r="K11" s="34"/>
      <c r="L11" s="34"/>
    </row>
    <row r="12" spans="2:12" ht="28.5">
      <c r="B12" s="53"/>
      <c r="C12" s="53"/>
      <c r="D12" s="53">
        <v>636</v>
      </c>
      <c r="E12" s="53"/>
      <c r="F12" s="109" t="s">
        <v>42</v>
      </c>
      <c r="G12" s="58">
        <v>549108.55398500233</v>
      </c>
      <c r="H12" s="54">
        <f>H13+H14</f>
        <v>613039.01</v>
      </c>
      <c r="I12" s="54">
        <f>I13+I14</f>
        <v>691321.92</v>
      </c>
      <c r="J12" s="46">
        <f>J13+J14</f>
        <v>670192.26</v>
      </c>
      <c r="K12" s="46">
        <f t="shared" si="1"/>
        <v>122.05095971211273</v>
      </c>
      <c r="L12" s="46">
        <f t="shared" si="0"/>
        <v>96.943585992470773</v>
      </c>
    </row>
    <row r="13" spans="2:12" ht="30">
      <c r="B13" s="50"/>
      <c r="C13" s="50"/>
      <c r="D13" s="50"/>
      <c r="E13" s="50">
        <v>6361</v>
      </c>
      <c r="F13" s="56" t="s">
        <v>43</v>
      </c>
      <c r="G13" s="51">
        <v>549108.55398500233</v>
      </c>
      <c r="H13" s="51">
        <f>18533.51+1061.78+572780.11</f>
        <v>592375.4</v>
      </c>
      <c r="I13" s="51">
        <f>375.73+20109.21+38949.52+361.47+589180.6+2345.39+20000</f>
        <v>671321.92</v>
      </c>
      <c r="J13" s="34">
        <v>658899.02</v>
      </c>
      <c r="K13" s="34">
        <f t="shared" si="1"/>
        <v>119.99430990798157</v>
      </c>
      <c r="L13" s="34">
        <f t="shared" si="0"/>
        <v>98.149486910840039</v>
      </c>
    </row>
    <row r="14" spans="2:12" ht="30">
      <c r="B14" s="50"/>
      <c r="C14" s="50"/>
      <c r="D14" s="50"/>
      <c r="E14" s="50">
        <v>6362</v>
      </c>
      <c r="F14" s="56" t="s">
        <v>44</v>
      </c>
      <c r="G14" s="51">
        <v>0</v>
      </c>
      <c r="H14" s="51">
        <v>20663.61</v>
      </c>
      <c r="I14" s="51">
        <v>20000</v>
      </c>
      <c r="J14" s="34">
        <v>11293.24</v>
      </c>
      <c r="K14" s="34"/>
      <c r="L14" s="34">
        <f t="shared" si="0"/>
        <v>56.466200000000001</v>
      </c>
    </row>
    <row r="15" spans="2:12" ht="28.5">
      <c r="B15" s="53"/>
      <c r="C15" s="53"/>
      <c r="D15" s="53">
        <v>639</v>
      </c>
      <c r="E15" s="53"/>
      <c r="F15" s="109" t="s">
        <v>45</v>
      </c>
      <c r="G15" s="54">
        <v>8543.8423253036035</v>
      </c>
      <c r="H15" s="54">
        <v>12705</v>
      </c>
      <c r="I15" s="54">
        <v>1324.83</v>
      </c>
      <c r="J15" s="46">
        <v>850.28</v>
      </c>
      <c r="K15" s="46">
        <f t="shared" si="1"/>
        <v>9.9519626840700788</v>
      </c>
      <c r="L15" s="46">
        <f t="shared" si="0"/>
        <v>64.180309926556617</v>
      </c>
    </row>
    <row r="16" spans="2:12" ht="30">
      <c r="B16" s="50"/>
      <c r="C16" s="50"/>
      <c r="D16" s="50"/>
      <c r="E16" s="50">
        <v>6393</v>
      </c>
      <c r="F16" s="56" t="s">
        <v>46</v>
      </c>
      <c r="G16" s="51">
        <v>8543.8423253036035</v>
      </c>
      <c r="H16" s="51">
        <v>12705</v>
      </c>
      <c r="I16" s="51">
        <v>1324.83</v>
      </c>
      <c r="J16" s="34">
        <v>850.28</v>
      </c>
      <c r="K16" s="34">
        <f t="shared" si="1"/>
        <v>9.9519626840700788</v>
      </c>
      <c r="L16" s="34">
        <f t="shared" si="0"/>
        <v>64.180309926556617</v>
      </c>
    </row>
    <row r="17" spans="2:12" ht="40.5" customHeight="1">
      <c r="B17" s="63"/>
      <c r="C17" s="63">
        <v>65</v>
      </c>
      <c r="D17" s="63"/>
      <c r="E17" s="63"/>
      <c r="F17" s="72" t="s">
        <v>47</v>
      </c>
      <c r="G17" s="83">
        <v>20457.297763620678</v>
      </c>
      <c r="H17" s="83">
        <v>25480</v>
      </c>
      <c r="I17" s="83">
        <v>13496.69</v>
      </c>
      <c r="J17" s="84">
        <v>12218.18</v>
      </c>
      <c r="K17" s="44">
        <f t="shared" si="1"/>
        <v>59.725287969008569</v>
      </c>
      <c r="L17" s="44">
        <f t="shared" si="0"/>
        <v>90.527232973417924</v>
      </c>
    </row>
    <row r="18" spans="2:12" ht="30" customHeight="1">
      <c r="B18" s="53"/>
      <c r="C18" s="53"/>
      <c r="D18" s="53">
        <v>652</v>
      </c>
      <c r="E18" s="53"/>
      <c r="F18" s="109" t="s">
        <v>48</v>
      </c>
      <c r="G18" s="54">
        <v>20457.297763620678</v>
      </c>
      <c r="H18" s="54">
        <v>25480</v>
      </c>
      <c r="I18" s="54"/>
      <c r="J18" s="46">
        <v>12218.18</v>
      </c>
      <c r="K18" s="46">
        <f t="shared" si="1"/>
        <v>59.725287969008569</v>
      </c>
      <c r="L18" s="46"/>
    </row>
    <row r="19" spans="2:12" ht="27.75" customHeight="1">
      <c r="B19" s="50"/>
      <c r="C19" s="50"/>
      <c r="D19" s="50"/>
      <c r="E19" s="50">
        <v>6526</v>
      </c>
      <c r="F19" s="56" t="s">
        <v>49</v>
      </c>
      <c r="G19" s="51">
        <v>20457.297763620678</v>
      </c>
      <c r="H19" s="51">
        <v>25480</v>
      </c>
      <c r="I19" s="51">
        <f>2000+5000+6496.69</f>
        <v>13496.689999999999</v>
      </c>
      <c r="J19" s="34">
        <v>12218.18</v>
      </c>
      <c r="K19" s="34">
        <f t="shared" si="1"/>
        <v>59.725287969008569</v>
      </c>
      <c r="L19" s="34">
        <f t="shared" si="0"/>
        <v>90.527232973417938</v>
      </c>
    </row>
    <row r="20" spans="2:12" ht="33" customHeight="1">
      <c r="B20" s="62"/>
      <c r="C20" s="63">
        <v>67</v>
      </c>
      <c r="D20" s="62"/>
      <c r="E20" s="62"/>
      <c r="F20" s="72" t="s">
        <v>50</v>
      </c>
      <c r="G20" s="83">
        <v>341492.333930586</v>
      </c>
      <c r="H20" s="83">
        <v>103509.03</v>
      </c>
      <c r="I20" s="83">
        <v>254116.64</v>
      </c>
      <c r="J20" s="86">
        <v>146306.06</v>
      </c>
      <c r="K20" s="70">
        <f t="shared" si="1"/>
        <v>42.843146232892934</v>
      </c>
      <c r="L20" s="70">
        <f t="shared" si="0"/>
        <v>57.574372146585908</v>
      </c>
    </row>
    <row r="21" spans="2:12" ht="30.75" customHeight="1">
      <c r="B21" s="53"/>
      <c r="C21" s="53"/>
      <c r="D21" s="53">
        <v>671</v>
      </c>
      <c r="E21" s="53"/>
      <c r="F21" s="109" t="s">
        <v>51</v>
      </c>
      <c r="G21" s="54">
        <v>341492.33393058594</v>
      </c>
      <c r="H21" s="54">
        <v>103509.03</v>
      </c>
      <c r="I21" s="54">
        <f>I22+I23</f>
        <v>254116.64</v>
      </c>
      <c r="J21" s="46">
        <f>J22+J23</f>
        <v>146306.06</v>
      </c>
      <c r="K21" s="46">
        <f t="shared" si="1"/>
        <v>42.843146232892934</v>
      </c>
      <c r="L21" s="46">
        <f t="shared" si="0"/>
        <v>57.574372146585908</v>
      </c>
    </row>
    <row r="22" spans="2:12" ht="27.75" customHeight="1">
      <c r="B22" s="50"/>
      <c r="C22" s="50"/>
      <c r="D22" s="50"/>
      <c r="E22" s="50">
        <v>6711</v>
      </c>
      <c r="F22" s="56" t="s">
        <v>52</v>
      </c>
      <c r="G22" s="51">
        <v>116897.58577211494</v>
      </c>
      <c r="H22" s="51">
        <v>103509.03</v>
      </c>
      <c r="I22" s="51">
        <f>90161.3+15804.09+19944.24+1622.98+5044.78+875+1563+6873.72+1031.25+84</f>
        <v>143004.36000000002</v>
      </c>
      <c r="J22" s="34">
        <v>121762.08</v>
      </c>
      <c r="K22" s="34">
        <f t="shared" si="1"/>
        <v>104.16132993316739</v>
      </c>
      <c r="L22" s="34">
        <f t="shared" si="0"/>
        <v>85.145711641239458</v>
      </c>
    </row>
    <row r="23" spans="2:12" ht="27.75" customHeight="1">
      <c r="B23" s="50"/>
      <c r="C23" s="50"/>
      <c r="D23" s="50"/>
      <c r="E23" s="50">
        <v>6712</v>
      </c>
      <c r="F23" s="56" t="s">
        <v>53</v>
      </c>
      <c r="G23" s="51">
        <v>224594.74815847102</v>
      </c>
      <c r="H23" s="51"/>
      <c r="I23" s="51">
        <f>77310.85+5244.13+5375+843.87+22338.43</f>
        <v>111112.28</v>
      </c>
      <c r="J23" s="34">
        <v>24543.98</v>
      </c>
      <c r="K23" s="34">
        <f t="shared" si="1"/>
        <v>10.928118400472169</v>
      </c>
      <c r="L23" s="34">
        <f t="shared" si="0"/>
        <v>22.089349620041997</v>
      </c>
    </row>
    <row r="24" spans="2:12" ht="27.75" customHeight="1">
      <c r="B24" s="62"/>
      <c r="C24" s="63">
        <v>68</v>
      </c>
      <c r="D24" s="62"/>
      <c r="E24" s="62"/>
      <c r="F24" s="72" t="s">
        <v>54</v>
      </c>
      <c r="G24" s="95">
        <v>0</v>
      </c>
      <c r="H24" s="95"/>
      <c r="I24" s="83">
        <v>1212.96</v>
      </c>
      <c r="J24" s="86">
        <v>1212.96</v>
      </c>
      <c r="K24" s="70"/>
      <c r="L24" s="70">
        <f t="shared" si="0"/>
        <v>100</v>
      </c>
    </row>
    <row r="25" spans="2:12" ht="27.75" customHeight="1">
      <c r="B25" s="50"/>
      <c r="C25" s="73"/>
      <c r="D25" s="73"/>
      <c r="E25" s="73">
        <v>6831</v>
      </c>
      <c r="F25" s="56" t="s">
        <v>55</v>
      </c>
      <c r="G25" s="51">
        <v>0</v>
      </c>
      <c r="H25" s="51"/>
      <c r="I25" s="51">
        <v>1212.96</v>
      </c>
      <c r="J25" s="34">
        <v>1212.96</v>
      </c>
      <c r="K25" s="34"/>
      <c r="L25" s="34">
        <f t="shared" si="0"/>
        <v>100</v>
      </c>
    </row>
    <row r="26" spans="2:12" ht="27.75" customHeight="1">
      <c r="B26" s="222"/>
      <c r="C26" s="226">
        <v>92</v>
      </c>
      <c r="D26" s="73"/>
      <c r="E26" s="73"/>
      <c r="F26" s="223" t="s">
        <v>219</v>
      </c>
      <c r="G26" s="224">
        <v>-10402.11</v>
      </c>
      <c r="H26" s="224"/>
      <c r="I26" s="224"/>
      <c r="J26" s="225"/>
      <c r="K26" s="225"/>
      <c r="L26" s="225"/>
    </row>
    <row r="27" spans="2:12" ht="27.75" customHeight="1" thickBot="1">
      <c r="B27" s="111"/>
      <c r="C27" s="110">
        <v>42</v>
      </c>
      <c r="D27" s="110"/>
      <c r="E27" s="110"/>
      <c r="F27" s="112" t="s">
        <v>231</v>
      </c>
      <c r="G27" s="113">
        <v>1275.7050899197025</v>
      </c>
      <c r="H27" s="113">
        <v>329.66</v>
      </c>
      <c r="I27" s="113">
        <f>1493.92+290.79+54.49</f>
        <v>1839.2</v>
      </c>
      <c r="J27" s="114"/>
      <c r="K27" s="114">
        <f t="shared" si="1"/>
        <v>0</v>
      </c>
      <c r="L27" s="114">
        <f t="shared" si="0"/>
        <v>0</v>
      </c>
    </row>
    <row r="28" spans="2:12" ht="43.5" customHeight="1" thickBot="1">
      <c r="B28" s="277" t="s">
        <v>232</v>
      </c>
      <c r="C28" s="278"/>
      <c r="D28" s="278"/>
      <c r="E28" s="278"/>
      <c r="F28" s="279"/>
      <c r="G28" s="115">
        <f>G8+G27</f>
        <v>920877.73309443227</v>
      </c>
      <c r="H28" s="115">
        <f>H8+H27</f>
        <v>755062.70000000007</v>
      </c>
      <c r="I28" s="115">
        <f>I8+I27</f>
        <v>963312.23999999987</v>
      </c>
      <c r="J28" s="116">
        <f>J8-10402.11</f>
        <v>820903.58</v>
      </c>
      <c r="K28" s="116">
        <f t="shared" si="1"/>
        <v>89.143601859229619</v>
      </c>
      <c r="L28" s="117">
        <f t="shared" si="0"/>
        <v>85.216770421187633</v>
      </c>
    </row>
    <row r="29" spans="2:12" ht="27.75" customHeight="1">
      <c r="B29" s="23"/>
      <c r="C29" s="23"/>
      <c r="D29" s="24"/>
      <c r="E29" s="24"/>
      <c r="F29" s="25"/>
      <c r="G29" s="26"/>
      <c r="H29" s="26"/>
      <c r="I29" s="71"/>
      <c r="J29" s="27"/>
    </row>
    <row r="30" spans="2:12" ht="18"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</row>
    <row r="31" spans="2:12" ht="36.75" customHeight="1">
      <c r="B31" s="271" t="s">
        <v>7</v>
      </c>
      <c r="C31" s="272"/>
      <c r="D31" s="272"/>
      <c r="E31" s="272"/>
      <c r="F31" s="273"/>
      <c r="G31" s="40" t="s">
        <v>188</v>
      </c>
      <c r="H31" s="40" t="s">
        <v>189</v>
      </c>
      <c r="I31" s="67" t="s">
        <v>178</v>
      </c>
      <c r="J31" s="40" t="s">
        <v>38</v>
      </c>
      <c r="K31" s="40" t="s">
        <v>14</v>
      </c>
      <c r="L31" s="67" t="s">
        <v>30</v>
      </c>
    </row>
    <row r="32" spans="2:12">
      <c r="B32" s="268">
        <v>1</v>
      </c>
      <c r="C32" s="269"/>
      <c r="D32" s="269"/>
      <c r="E32" s="269"/>
      <c r="F32" s="270"/>
      <c r="G32" s="41">
        <v>2</v>
      </c>
      <c r="H32" s="41">
        <v>3</v>
      </c>
      <c r="I32" s="78">
        <v>4</v>
      </c>
      <c r="J32" s="41">
        <v>5</v>
      </c>
      <c r="K32" s="41" t="s">
        <v>25</v>
      </c>
      <c r="L32" s="68" t="s">
        <v>26</v>
      </c>
    </row>
    <row r="33" spans="2:13" ht="46.5" customHeight="1">
      <c r="B33" s="42"/>
      <c r="C33" s="42"/>
      <c r="D33" s="42"/>
      <c r="E33" s="42"/>
      <c r="F33" s="130" t="s">
        <v>28</v>
      </c>
      <c r="G33" s="131">
        <f>G34+G77</f>
        <v>920852.75304267043</v>
      </c>
      <c r="H33" s="132">
        <f>H34+H78</f>
        <v>755062.70000000007</v>
      </c>
      <c r="I33" s="132">
        <f>I34+I77</f>
        <v>963312.24</v>
      </c>
      <c r="J33" s="133">
        <f>J34+J77</f>
        <v>844988.98</v>
      </c>
      <c r="K33" s="133">
        <f>J33/G33*100</f>
        <v>91.761573955010476</v>
      </c>
      <c r="L33" s="133">
        <f>J33/I33*100</f>
        <v>87.717039700440225</v>
      </c>
    </row>
    <row r="34" spans="2:13" ht="29.25" customHeight="1">
      <c r="B34" s="43">
        <v>3</v>
      </c>
      <c r="C34" s="43"/>
      <c r="D34" s="43"/>
      <c r="E34" s="43"/>
      <c r="F34" s="43" t="s">
        <v>4</v>
      </c>
      <c r="G34" s="98">
        <v>686101.57986064104</v>
      </c>
      <c r="H34" s="98">
        <f>H35+H42</f>
        <v>734399.09000000008</v>
      </c>
      <c r="I34" s="98">
        <f>I35+I42+I70+I74</f>
        <v>830042.42999999993</v>
      </c>
      <c r="J34" s="97">
        <f>J35+J42+J70+J74</f>
        <v>807764.41999999993</v>
      </c>
      <c r="K34" s="97">
        <f t="shared" ref="K34:K88" si="2">J34/G34*100</f>
        <v>117.73248214412664</v>
      </c>
      <c r="L34" s="97">
        <f t="shared" ref="L34:L88" si="3">J34/I34*100</f>
        <v>97.316039614986906</v>
      </c>
      <c r="M34" s="27"/>
    </row>
    <row r="35" spans="2:13" ht="35.25" customHeight="1">
      <c r="B35" s="48"/>
      <c r="C35" s="48">
        <v>31</v>
      </c>
      <c r="D35" s="49"/>
      <c r="E35" s="49"/>
      <c r="F35" s="48" t="s">
        <v>5</v>
      </c>
      <c r="G35" s="83">
        <v>513240.60000000003</v>
      </c>
      <c r="H35" s="83">
        <f>H36+H38+H40</f>
        <v>566363.14</v>
      </c>
      <c r="I35" s="83">
        <f>I36+I38+I40</f>
        <v>584148.29</v>
      </c>
      <c r="J35" s="84">
        <f>J36+J38+J40</f>
        <v>592185.72</v>
      </c>
      <c r="K35" s="85">
        <f t="shared" si="2"/>
        <v>115.38169817430655</v>
      </c>
      <c r="L35" s="85">
        <f t="shared" si="3"/>
        <v>101.37592288423885</v>
      </c>
    </row>
    <row r="36" spans="2:13" ht="23.25" customHeight="1">
      <c r="B36" s="79"/>
      <c r="C36" s="79"/>
      <c r="D36" s="79">
        <v>311</v>
      </c>
      <c r="E36" s="79"/>
      <c r="F36" s="79" t="s">
        <v>21</v>
      </c>
      <c r="G36" s="100">
        <v>417236.87</v>
      </c>
      <c r="H36" s="102">
        <f>457214.32+177.28+14792.12</f>
        <v>472183.72000000003</v>
      </c>
      <c r="I36" s="103">
        <f>457214.32+430+15600</f>
        <v>473244.32</v>
      </c>
      <c r="J36" s="104">
        <v>486604.25</v>
      </c>
      <c r="K36" s="104">
        <f t="shared" si="2"/>
        <v>116.62541951290164</v>
      </c>
      <c r="L36" s="104">
        <f t="shared" si="3"/>
        <v>102.82305131522762</v>
      </c>
    </row>
    <row r="37" spans="2:13">
      <c r="B37" s="50"/>
      <c r="C37" s="50"/>
      <c r="D37" s="50"/>
      <c r="E37" s="50">
        <v>3111</v>
      </c>
      <c r="F37" s="50" t="s">
        <v>22</v>
      </c>
      <c r="G37" s="34">
        <v>417236.87305063376</v>
      </c>
      <c r="H37" s="51">
        <f>457214.32+177.28+14792.12</f>
        <v>472183.72000000003</v>
      </c>
      <c r="I37" s="51">
        <f>457214.32+430+15600</f>
        <v>473244.32</v>
      </c>
      <c r="J37" s="34">
        <v>486604.25</v>
      </c>
      <c r="K37" s="34">
        <f t="shared" si="2"/>
        <v>116.62541866019309</v>
      </c>
      <c r="L37" s="34">
        <f t="shared" si="3"/>
        <v>102.82305131522762</v>
      </c>
    </row>
    <row r="38" spans="2:13" ht="22.5" customHeight="1">
      <c r="B38" s="79"/>
      <c r="C38" s="79"/>
      <c r="D38" s="79">
        <v>312</v>
      </c>
      <c r="E38" s="79"/>
      <c r="F38" s="79" t="s">
        <v>56</v>
      </c>
      <c r="G38" s="100">
        <v>27231.77</v>
      </c>
      <c r="H38" s="102">
        <f>14599.51+663.61+1035.24</f>
        <v>16298.36</v>
      </c>
      <c r="I38" s="103">
        <f>663.61+31000+909.21+290.79</f>
        <v>32863.61</v>
      </c>
      <c r="J38" s="104">
        <v>25325.43</v>
      </c>
      <c r="K38" s="104">
        <f t="shared" si="2"/>
        <v>92.999573659736399</v>
      </c>
      <c r="L38" s="104">
        <f t="shared" si="3"/>
        <v>77.062227795424789</v>
      </c>
    </row>
    <row r="39" spans="2:13">
      <c r="B39" s="50"/>
      <c r="C39" s="50"/>
      <c r="D39" s="50"/>
      <c r="E39" s="50">
        <v>3121</v>
      </c>
      <c r="F39" s="50" t="s">
        <v>56</v>
      </c>
      <c r="G39" s="34">
        <v>27231.769858650208</v>
      </c>
      <c r="H39" s="51">
        <f>14599.51+663.61+1035.24</f>
        <v>16298.36</v>
      </c>
      <c r="I39" s="51">
        <f>663.61+31000+909.21+290.79</f>
        <v>32863.61</v>
      </c>
      <c r="J39" s="34">
        <v>25325.43</v>
      </c>
      <c r="K39" s="34">
        <f t="shared" si="2"/>
        <v>92.999574142461924</v>
      </c>
      <c r="L39" s="34">
        <f t="shared" si="3"/>
        <v>77.062227795424789</v>
      </c>
    </row>
    <row r="40" spans="2:13" ht="22.5" customHeight="1">
      <c r="B40" s="53"/>
      <c r="C40" s="53"/>
      <c r="D40" s="53">
        <v>313</v>
      </c>
      <c r="E40" s="53"/>
      <c r="F40" s="53" t="s">
        <v>57</v>
      </c>
      <c r="G40" s="100">
        <v>68771.960000000006</v>
      </c>
      <c r="H40" s="99">
        <f>75440.36+2440.7</f>
        <v>77881.06</v>
      </c>
      <c r="I40" s="99">
        <f>75440.36+2600</f>
        <v>78040.36</v>
      </c>
      <c r="J40" s="100">
        <v>80256.039999999994</v>
      </c>
      <c r="K40" s="100">
        <f t="shared" si="2"/>
        <v>116.69878246890156</v>
      </c>
      <c r="L40" s="100">
        <f t="shared" si="3"/>
        <v>102.83914630839735</v>
      </c>
    </row>
    <row r="41" spans="2:13">
      <c r="B41" s="50"/>
      <c r="C41" s="50"/>
      <c r="D41" s="50"/>
      <c r="E41" s="50">
        <v>3132</v>
      </c>
      <c r="F41" s="50" t="s">
        <v>209</v>
      </c>
      <c r="G41" s="34">
        <v>68771.962306722402</v>
      </c>
      <c r="H41" s="51">
        <f>75440.36+2440.7</f>
        <v>77881.06</v>
      </c>
      <c r="I41" s="51">
        <f>75440.36+2600</f>
        <v>78040.36</v>
      </c>
      <c r="J41" s="34">
        <v>80256.039999999994</v>
      </c>
      <c r="K41" s="34">
        <f t="shared" si="2"/>
        <v>116.69877855463639</v>
      </c>
      <c r="L41" s="34">
        <f t="shared" si="3"/>
        <v>102.83914630839735</v>
      </c>
    </row>
    <row r="42" spans="2:13" ht="33" customHeight="1">
      <c r="B42" s="62"/>
      <c r="C42" s="63">
        <v>32</v>
      </c>
      <c r="D42" s="62"/>
      <c r="E42" s="62"/>
      <c r="F42" s="63" t="s">
        <v>9</v>
      </c>
      <c r="G42" s="86">
        <v>159340.89986064102</v>
      </c>
      <c r="H42" s="83">
        <f>H43+H47+H54+H64</f>
        <v>168035.95</v>
      </c>
      <c r="I42" s="83">
        <f>I43+I47+I54+I64</f>
        <v>225532.66999999998</v>
      </c>
      <c r="J42" s="86">
        <f>J43+J47+J54+J64</f>
        <v>200816.11000000002</v>
      </c>
      <c r="K42" s="87">
        <f t="shared" si="2"/>
        <v>126.02923052124915</v>
      </c>
      <c r="L42" s="87">
        <f t="shared" si="3"/>
        <v>89.040807258655704</v>
      </c>
      <c r="M42" s="27"/>
    </row>
    <row r="43" spans="2:13">
      <c r="B43" s="53"/>
      <c r="C43" s="53"/>
      <c r="D43" s="53">
        <v>321</v>
      </c>
      <c r="E43" s="53"/>
      <c r="F43" s="53" t="s">
        <v>23</v>
      </c>
      <c r="G43" s="46">
        <v>14714.993695666599</v>
      </c>
      <c r="H43" s="54">
        <f>H44+H45+H46</f>
        <v>26702.36</v>
      </c>
      <c r="I43" s="54">
        <f>I44+I45+I46</f>
        <v>27190.569999999996</v>
      </c>
      <c r="J43" s="46">
        <f>J44+J45+J46</f>
        <v>18997.29</v>
      </c>
      <c r="K43" s="46">
        <f t="shared" si="2"/>
        <v>129.1015843628563</v>
      </c>
      <c r="L43" s="46">
        <f t="shared" si="3"/>
        <v>69.867200283039324</v>
      </c>
    </row>
    <row r="44" spans="2:13">
      <c r="B44" s="50"/>
      <c r="C44" s="55"/>
      <c r="D44" s="50"/>
      <c r="E44" s="50">
        <v>3211</v>
      </c>
      <c r="F44" s="56" t="s">
        <v>24</v>
      </c>
      <c r="G44" s="34">
        <v>1248.3907359479726</v>
      </c>
      <c r="H44" s="51">
        <v>1838.22</v>
      </c>
      <c r="I44" s="51">
        <v>1535.6</v>
      </c>
      <c r="J44" s="34">
        <v>1868.95</v>
      </c>
      <c r="K44" s="34">
        <f t="shared" si="2"/>
        <v>149.70873671061025</v>
      </c>
      <c r="L44" s="34">
        <f t="shared" si="3"/>
        <v>121.7081271164366</v>
      </c>
    </row>
    <row r="45" spans="2:13">
      <c r="B45" s="50"/>
      <c r="C45" s="55"/>
      <c r="D45" s="50"/>
      <c r="E45" s="50">
        <v>3212</v>
      </c>
      <c r="F45" s="50" t="s">
        <v>58</v>
      </c>
      <c r="G45" s="34">
        <v>13297.381378989978</v>
      </c>
      <c r="H45" s="51">
        <f>24198.69+265.45</f>
        <v>24464.14</v>
      </c>
      <c r="I45" s="51">
        <f>24198.69+1000</f>
        <v>25198.69</v>
      </c>
      <c r="J45" s="34">
        <v>16672.060000000001</v>
      </c>
      <c r="K45" s="34">
        <f t="shared" si="2"/>
        <v>125.378520212574</v>
      </c>
      <c r="L45" s="34">
        <f t="shared" si="3"/>
        <v>66.162407648969051</v>
      </c>
    </row>
    <row r="46" spans="2:13">
      <c r="B46" s="50"/>
      <c r="C46" s="50"/>
      <c r="D46" s="50"/>
      <c r="E46" s="50">
        <v>3213</v>
      </c>
      <c r="F46" s="50" t="s">
        <v>59</v>
      </c>
      <c r="G46" s="34">
        <v>169.22158072864821</v>
      </c>
      <c r="H46" s="51">
        <v>400</v>
      </c>
      <c r="I46" s="51">
        <f>414.8+41.48</f>
        <v>456.28000000000003</v>
      </c>
      <c r="J46" s="45">
        <v>456.28</v>
      </c>
      <c r="K46" s="34">
        <f t="shared" si="2"/>
        <v>269.63463999999999</v>
      </c>
      <c r="L46" s="34">
        <f t="shared" si="3"/>
        <v>99.999999999999986</v>
      </c>
    </row>
    <row r="47" spans="2:13" ht="21.75" customHeight="1">
      <c r="B47" s="53"/>
      <c r="C47" s="53"/>
      <c r="D47" s="53">
        <v>322</v>
      </c>
      <c r="E47" s="53"/>
      <c r="F47" s="53" t="s">
        <v>60</v>
      </c>
      <c r="G47" s="100">
        <v>53053.288207578466</v>
      </c>
      <c r="H47" s="102">
        <f>H48+H49+H50+H51+H52+H53</f>
        <v>63011.489999999991</v>
      </c>
      <c r="I47" s="102">
        <f>I48+I49+I50+I51+I52</f>
        <v>79259.69</v>
      </c>
      <c r="J47" s="100">
        <f>J48+J49+J50+J51+J52</f>
        <v>69448.63</v>
      </c>
      <c r="K47" s="100">
        <f t="shared" si="2"/>
        <v>130.90353557025995</v>
      </c>
      <c r="L47" s="100">
        <f t="shared" si="3"/>
        <v>87.621627084335046</v>
      </c>
    </row>
    <row r="48" spans="2:13">
      <c r="B48" s="50"/>
      <c r="C48" s="50"/>
      <c r="D48" s="50"/>
      <c r="E48" s="50">
        <v>3221</v>
      </c>
      <c r="F48" s="50" t="s">
        <v>61</v>
      </c>
      <c r="G48" s="34">
        <v>4214.9644966487494</v>
      </c>
      <c r="H48" s="51">
        <v>4997.13</v>
      </c>
      <c r="I48" s="51">
        <f>2567.65+582.23</f>
        <v>3149.88</v>
      </c>
      <c r="J48" s="34">
        <v>4978.24</v>
      </c>
      <c r="K48" s="34">
        <f t="shared" si="2"/>
        <v>118.10870539854174</v>
      </c>
      <c r="L48" s="34">
        <f t="shared" si="3"/>
        <v>158.0453858559691</v>
      </c>
    </row>
    <row r="49" spans="2:12">
      <c r="B49" s="50"/>
      <c r="C49" s="50"/>
      <c r="D49" s="50"/>
      <c r="E49" s="50">
        <v>3222</v>
      </c>
      <c r="F49" s="50" t="s">
        <v>62</v>
      </c>
      <c r="G49" s="34">
        <v>28974.404406397232</v>
      </c>
      <c r="H49" s="51">
        <f>17630+100+12705+7850</f>
        <v>38285</v>
      </c>
      <c r="I49" s="51">
        <f>2000+850.28+474.55+3011.72+3862+5000+38949.52</f>
        <v>54148.069999999992</v>
      </c>
      <c r="J49" s="34">
        <v>42884.43</v>
      </c>
      <c r="K49" s="34">
        <f t="shared" si="2"/>
        <v>148.00797765676103</v>
      </c>
      <c r="L49" s="34">
        <f t="shared" si="3"/>
        <v>79.198446038796959</v>
      </c>
    </row>
    <row r="50" spans="2:12">
      <c r="B50" s="50"/>
      <c r="C50" s="50"/>
      <c r="D50" s="50"/>
      <c r="E50" s="50">
        <v>3223</v>
      </c>
      <c r="F50" s="50" t="s">
        <v>63</v>
      </c>
      <c r="G50" s="34">
        <v>15065.607538655519</v>
      </c>
      <c r="H50" s="51">
        <f>6636.14+9290.6</f>
        <v>15926.740000000002</v>
      </c>
      <c r="I50" s="51">
        <f>13390.36+1029.14+4320+375.73</f>
        <v>19115.23</v>
      </c>
      <c r="J50" s="34">
        <v>18739.5</v>
      </c>
      <c r="K50" s="34">
        <f t="shared" si="2"/>
        <v>124.38595623786139</v>
      </c>
      <c r="L50" s="34">
        <f t="shared" si="3"/>
        <v>98.034394563915797</v>
      </c>
    </row>
    <row r="51" spans="2:12">
      <c r="B51" s="50"/>
      <c r="C51" s="50"/>
      <c r="D51" s="50"/>
      <c r="E51" s="50">
        <v>3224</v>
      </c>
      <c r="F51" s="50" t="s">
        <v>64</v>
      </c>
      <c r="G51" s="34">
        <v>982.1527639524852</v>
      </c>
      <c r="H51" s="51">
        <v>2740.84</v>
      </c>
      <c r="I51" s="51">
        <f>888.79+1622.98</f>
        <v>2511.77</v>
      </c>
      <c r="J51" s="34">
        <v>2511.7199999999998</v>
      </c>
      <c r="K51" s="34">
        <f t="shared" si="2"/>
        <v>255.73618404249711</v>
      </c>
      <c r="L51" s="34">
        <f t="shared" si="3"/>
        <v>99.998009371877188</v>
      </c>
    </row>
    <row r="52" spans="2:12">
      <c r="B52" s="50"/>
      <c r="C52" s="50"/>
      <c r="D52" s="50"/>
      <c r="E52" s="50">
        <v>3225</v>
      </c>
      <c r="F52" s="50" t="s">
        <v>65</v>
      </c>
      <c r="G52" s="34">
        <v>3420.4724931979558</v>
      </c>
      <c r="H52" s="51">
        <v>398.17</v>
      </c>
      <c r="I52" s="51">
        <v>334.74</v>
      </c>
      <c r="J52" s="34">
        <v>334.74</v>
      </c>
      <c r="K52" s="34">
        <f t="shared" si="2"/>
        <v>9.7863672538128288</v>
      </c>
      <c r="L52" s="34">
        <f t="shared" si="3"/>
        <v>100</v>
      </c>
    </row>
    <row r="53" spans="2:12">
      <c r="B53" s="50"/>
      <c r="C53" s="50"/>
      <c r="D53" s="50"/>
      <c r="E53" s="50">
        <v>3227</v>
      </c>
      <c r="F53" s="50" t="s">
        <v>211</v>
      </c>
      <c r="G53" s="34">
        <v>395.68650872652466</v>
      </c>
      <c r="H53" s="51">
        <v>663.61</v>
      </c>
      <c r="I53" s="51"/>
      <c r="J53" s="34"/>
      <c r="K53" s="34">
        <f t="shared" si="2"/>
        <v>0</v>
      </c>
      <c r="L53" s="34"/>
    </row>
    <row r="54" spans="2:12" ht="21.75" customHeight="1">
      <c r="B54" s="53"/>
      <c r="C54" s="53"/>
      <c r="D54" s="53">
        <v>323</v>
      </c>
      <c r="E54" s="53"/>
      <c r="F54" s="53" t="s">
        <v>66</v>
      </c>
      <c r="G54" s="100">
        <v>87324.602826995804</v>
      </c>
      <c r="H54" s="102">
        <f>H55+H56+H57+H58+H59+H60+H61+H62+H63</f>
        <v>76661.430000000008</v>
      </c>
      <c r="I54" s="102">
        <f>I55+I56+I57+I58+I59+I60+I61+I62+I63</f>
        <v>113481.66</v>
      </c>
      <c r="J54" s="100">
        <f>J55+J56+J57+J58+J60+J61+J62+J63</f>
        <v>108840.62</v>
      </c>
      <c r="K54" s="100">
        <f t="shared" si="2"/>
        <v>124.63912399994639</v>
      </c>
      <c r="L54" s="100">
        <f t="shared" si="3"/>
        <v>95.910317138469765</v>
      </c>
    </row>
    <row r="55" spans="2:12">
      <c r="B55" s="50"/>
      <c r="C55" s="50"/>
      <c r="D55" s="50"/>
      <c r="E55" s="50">
        <v>3231</v>
      </c>
      <c r="F55" s="50" t="s">
        <v>67</v>
      </c>
      <c r="G55" s="34">
        <v>838.13657176985851</v>
      </c>
      <c r="H55" s="51">
        <v>862.7</v>
      </c>
      <c r="I55" s="51">
        <f>632.06+38.42</f>
        <v>670.4799999999999</v>
      </c>
      <c r="J55" s="34">
        <v>773.36</v>
      </c>
      <c r="K55" s="34">
        <f t="shared" si="2"/>
        <v>92.271358397704503</v>
      </c>
      <c r="L55" s="34">
        <f t="shared" si="3"/>
        <v>115.34423099868754</v>
      </c>
    </row>
    <row r="56" spans="2:12">
      <c r="B56" s="50"/>
      <c r="C56" s="50"/>
      <c r="D56" s="50"/>
      <c r="E56" s="50">
        <v>3232</v>
      </c>
      <c r="F56" s="50" t="s">
        <v>68</v>
      </c>
      <c r="G56" s="34">
        <v>3488.7809410047116</v>
      </c>
      <c r="H56" s="51">
        <v>1327.23</v>
      </c>
      <c r="I56" s="51">
        <f>292.5+201.15+5044.78+6496.69</f>
        <v>12035.119999999999</v>
      </c>
      <c r="J56" s="34">
        <v>11292.65</v>
      </c>
      <c r="K56" s="34">
        <f t="shared" si="2"/>
        <v>323.68469648736107</v>
      </c>
      <c r="L56" s="34">
        <f t="shared" si="3"/>
        <v>93.830805176849097</v>
      </c>
    </row>
    <row r="57" spans="2:12">
      <c r="B57" s="50"/>
      <c r="C57" s="50"/>
      <c r="D57" s="50"/>
      <c r="E57" s="50">
        <v>3234</v>
      </c>
      <c r="F57" s="50" t="s">
        <v>69</v>
      </c>
      <c r="G57" s="34">
        <v>4597.8060919769059</v>
      </c>
      <c r="H57" s="51">
        <v>4379.8500000000004</v>
      </c>
      <c r="I57" s="51">
        <f>4264.29+1530.61</f>
        <v>5794.9</v>
      </c>
      <c r="J57" s="34">
        <v>5591.66</v>
      </c>
      <c r="K57" s="34">
        <f t="shared" si="2"/>
        <v>121.61582911809509</v>
      </c>
      <c r="L57" s="34">
        <f t="shared" si="3"/>
        <v>96.492778132495815</v>
      </c>
    </row>
    <row r="58" spans="2:12">
      <c r="B58" s="50"/>
      <c r="C58" s="50"/>
      <c r="D58" s="50"/>
      <c r="E58" s="50">
        <v>3235</v>
      </c>
      <c r="F58" s="50" t="s">
        <v>70</v>
      </c>
      <c r="G58" s="34">
        <v>69451.548211560148</v>
      </c>
      <c r="H58" s="51">
        <f>64730.37+663.61</f>
        <v>65393.98</v>
      </c>
      <c r="I58" s="51">
        <f>61211.14+15804.09+10547.72+84</f>
        <v>87646.95</v>
      </c>
      <c r="J58" s="34">
        <v>84453.51</v>
      </c>
      <c r="K58" s="34">
        <f t="shared" si="2"/>
        <v>121.60061535668227</v>
      </c>
      <c r="L58" s="34">
        <f t="shared" si="3"/>
        <v>96.35647332850715</v>
      </c>
    </row>
    <row r="59" spans="2:12">
      <c r="B59" s="50"/>
      <c r="C59" s="50"/>
      <c r="D59" s="50"/>
      <c r="E59" s="50">
        <v>3235</v>
      </c>
      <c r="F59" s="50" t="s">
        <v>200</v>
      </c>
      <c r="G59" s="34">
        <v>0</v>
      </c>
      <c r="H59" s="51">
        <v>398.17</v>
      </c>
      <c r="I59" s="51">
        <v>398.17</v>
      </c>
      <c r="J59" s="34"/>
      <c r="K59" s="34"/>
      <c r="L59" s="34"/>
    </row>
    <row r="60" spans="2:12">
      <c r="B60" s="50"/>
      <c r="C60" s="50"/>
      <c r="D60" s="50"/>
      <c r="E60" s="50">
        <v>3236</v>
      </c>
      <c r="F60" s="50" t="s">
        <v>71</v>
      </c>
      <c r="G60" s="34">
        <v>3618.0237573827062</v>
      </c>
      <c r="H60" s="51">
        <v>1459.95</v>
      </c>
      <c r="I60" s="51">
        <v>1514.24</v>
      </c>
      <c r="J60" s="34">
        <v>1514.24</v>
      </c>
      <c r="K60" s="34">
        <f t="shared" si="2"/>
        <v>41.852682611885541</v>
      </c>
      <c r="L60" s="34">
        <f t="shared" si="3"/>
        <v>100</v>
      </c>
    </row>
    <row r="61" spans="2:12">
      <c r="B61" s="50"/>
      <c r="C61" s="50"/>
      <c r="D61" s="50"/>
      <c r="E61" s="50">
        <v>3237</v>
      </c>
      <c r="F61" s="50" t="s">
        <v>72</v>
      </c>
      <c r="G61" s="34">
        <v>2479.2872785188138</v>
      </c>
      <c r="H61" s="51">
        <v>663.61</v>
      </c>
      <c r="I61" s="51">
        <f>797.35+334.09+875</f>
        <v>2006.44</v>
      </c>
      <c r="J61" s="34">
        <v>1903.03</v>
      </c>
      <c r="K61" s="34">
        <f t="shared" si="2"/>
        <v>76.757139702540485</v>
      </c>
      <c r="L61" s="34">
        <f t="shared" si="3"/>
        <v>94.846095572257326</v>
      </c>
    </row>
    <row r="62" spans="2:12">
      <c r="B62" s="50"/>
      <c r="C62" s="50"/>
      <c r="D62" s="50"/>
      <c r="E62" s="50">
        <v>3238</v>
      </c>
      <c r="F62" s="50" t="s">
        <v>73</v>
      </c>
      <c r="G62" s="34">
        <v>2655.2538323710928</v>
      </c>
      <c r="H62" s="51">
        <v>1990.84</v>
      </c>
      <c r="I62" s="51">
        <f>2111.71+1285.39</f>
        <v>3397.1000000000004</v>
      </c>
      <c r="J62" s="34">
        <v>3293.91</v>
      </c>
      <c r="K62" s="34">
        <f t="shared" si="2"/>
        <v>124.05254668472125</v>
      </c>
      <c r="L62" s="34">
        <f t="shared" si="3"/>
        <v>96.962409113655752</v>
      </c>
    </row>
    <row r="63" spans="2:12">
      <c r="B63" s="50"/>
      <c r="C63" s="50"/>
      <c r="D63" s="50"/>
      <c r="E63" s="50">
        <v>3239</v>
      </c>
      <c r="F63" s="50" t="s">
        <v>74</v>
      </c>
      <c r="G63" s="34">
        <v>195.76614241157341</v>
      </c>
      <c r="H63" s="51">
        <f>132.72+52.38</f>
        <v>185.1</v>
      </c>
      <c r="I63" s="51">
        <f>16.6+1.66</f>
        <v>18.260000000000002</v>
      </c>
      <c r="J63" s="34">
        <v>18.260000000000002</v>
      </c>
      <c r="K63" s="34">
        <f t="shared" si="2"/>
        <v>9.3274555932203409</v>
      </c>
      <c r="L63" s="34">
        <f t="shared" si="3"/>
        <v>100</v>
      </c>
    </row>
    <row r="64" spans="2:12" ht="21.75" customHeight="1">
      <c r="B64" s="53"/>
      <c r="C64" s="53"/>
      <c r="D64" s="53">
        <v>329</v>
      </c>
      <c r="E64" s="53"/>
      <c r="F64" s="53" t="s">
        <v>75</v>
      </c>
      <c r="G64" s="100">
        <v>4248.0151304001593</v>
      </c>
      <c r="H64" s="102">
        <f>H66+H67+H69</f>
        <v>1660.67</v>
      </c>
      <c r="I64" s="102">
        <f>I66+I67+I68+I69</f>
        <v>5600.75</v>
      </c>
      <c r="J64" s="100">
        <f>J66+J68+J69</f>
        <v>3529.57</v>
      </c>
      <c r="K64" s="100">
        <f t="shared" si="2"/>
        <v>83.087510087741094</v>
      </c>
      <c r="L64" s="100">
        <f t="shared" si="3"/>
        <v>63.019595589876353</v>
      </c>
    </row>
    <row r="65" spans="2:12">
      <c r="B65" s="80"/>
      <c r="C65" s="80"/>
      <c r="D65" s="80"/>
      <c r="E65" s="81">
        <v>3291</v>
      </c>
      <c r="F65" s="81" t="s">
        <v>213</v>
      </c>
      <c r="G65" s="34">
        <v>274.87822682327959</v>
      </c>
      <c r="H65" s="82"/>
      <c r="I65" s="82"/>
      <c r="J65" s="38"/>
      <c r="K65" s="38"/>
      <c r="L65" s="38"/>
    </row>
    <row r="66" spans="2:12">
      <c r="B66" s="50"/>
      <c r="C66" s="50"/>
      <c r="D66" s="50"/>
      <c r="E66" s="50">
        <v>3292</v>
      </c>
      <c r="F66" s="50" t="s">
        <v>76</v>
      </c>
      <c r="G66" s="34">
        <v>240.36631495122435</v>
      </c>
      <c r="H66" s="51">
        <v>273.70999999999998</v>
      </c>
      <c r="I66" s="51">
        <v>62.96</v>
      </c>
      <c r="J66" s="34">
        <v>62.96</v>
      </c>
      <c r="K66" s="34">
        <f t="shared" si="2"/>
        <v>26.193354094884707</v>
      </c>
      <c r="L66" s="34">
        <f t="shared" si="3"/>
        <v>100</v>
      </c>
    </row>
    <row r="67" spans="2:12">
      <c r="B67" s="50"/>
      <c r="C67" s="50"/>
      <c r="D67" s="50"/>
      <c r="E67" s="50">
        <v>3295</v>
      </c>
      <c r="F67" s="50" t="s">
        <v>208</v>
      </c>
      <c r="G67" s="34">
        <v>0</v>
      </c>
      <c r="H67" s="51">
        <v>1327.23</v>
      </c>
      <c r="I67" s="51">
        <v>1327.23</v>
      </c>
      <c r="J67" s="34"/>
      <c r="K67" s="34"/>
      <c r="L67" s="34">
        <f t="shared" si="3"/>
        <v>0</v>
      </c>
    </row>
    <row r="68" spans="2:12">
      <c r="B68" s="50"/>
      <c r="C68" s="50"/>
      <c r="D68" s="50"/>
      <c r="E68" s="50">
        <v>3296</v>
      </c>
      <c r="F68" s="50" t="s">
        <v>77</v>
      </c>
      <c r="G68" s="34">
        <v>0</v>
      </c>
      <c r="H68" s="51"/>
      <c r="I68" s="51">
        <v>190</v>
      </c>
      <c r="J68" s="34">
        <v>85.57</v>
      </c>
      <c r="K68" s="34"/>
      <c r="L68" s="34">
        <f t="shared" si="3"/>
        <v>45.036842105263155</v>
      </c>
    </row>
    <row r="69" spans="2:12">
      <c r="B69" s="50"/>
      <c r="C69" s="50"/>
      <c r="D69" s="50"/>
      <c r="E69" s="50">
        <v>3299</v>
      </c>
      <c r="F69" s="50" t="s">
        <v>75</v>
      </c>
      <c r="G69" s="34">
        <v>3732.7705886256549</v>
      </c>
      <c r="H69" s="51">
        <v>59.73</v>
      </c>
      <c r="I69" s="51">
        <f>126.51+32.35+1563+1031.25+1212.96+54.49</f>
        <v>4020.56</v>
      </c>
      <c r="J69" s="34">
        <v>3381.04</v>
      </c>
      <c r="K69" s="34">
        <f t="shared" si="2"/>
        <v>90.57722460369159</v>
      </c>
      <c r="L69" s="34">
        <f t="shared" si="3"/>
        <v>84.093758083451064</v>
      </c>
    </row>
    <row r="70" spans="2:12" ht="32.25" customHeight="1">
      <c r="B70" s="88"/>
      <c r="C70" s="89">
        <v>37</v>
      </c>
      <c r="D70" s="88"/>
      <c r="E70" s="88"/>
      <c r="F70" s="90" t="s">
        <v>78</v>
      </c>
      <c r="G70" s="86">
        <v>13520.08</v>
      </c>
      <c r="H70" s="91"/>
      <c r="I70" s="92">
        <v>20000</v>
      </c>
      <c r="J70" s="86">
        <v>14401.12</v>
      </c>
      <c r="K70" s="87">
        <f t="shared" si="2"/>
        <v>106.51652948799119</v>
      </c>
      <c r="L70" s="87">
        <f t="shared" si="3"/>
        <v>72.005600000000001</v>
      </c>
    </row>
    <row r="71" spans="2:12" ht="21.75" customHeight="1">
      <c r="B71" s="53"/>
      <c r="C71" s="53"/>
      <c r="D71" s="53">
        <v>372</v>
      </c>
      <c r="E71" s="53"/>
      <c r="F71" s="53" t="s">
        <v>79</v>
      </c>
      <c r="G71" s="100">
        <v>13520.075652000796</v>
      </c>
      <c r="H71" s="99"/>
      <c r="I71" s="99">
        <v>20000</v>
      </c>
      <c r="J71" s="100">
        <v>14401.12</v>
      </c>
      <c r="K71" s="100">
        <f t="shared" si="2"/>
        <v>106.51656374325702</v>
      </c>
      <c r="L71" s="100">
        <f t="shared" si="3"/>
        <v>72.005600000000001</v>
      </c>
    </row>
    <row r="72" spans="2:12">
      <c r="B72" s="80"/>
      <c r="C72" s="80"/>
      <c r="D72" s="80"/>
      <c r="E72" s="81">
        <v>3721</v>
      </c>
      <c r="F72" s="81" t="s">
        <v>212</v>
      </c>
      <c r="G72" s="34">
        <v>1756.2744707678014</v>
      </c>
      <c r="H72" s="82"/>
      <c r="I72" s="82"/>
      <c r="J72" s="38"/>
      <c r="K72" s="38"/>
      <c r="L72" s="38"/>
    </row>
    <row r="73" spans="2:12">
      <c r="B73" s="50"/>
      <c r="C73" s="50"/>
      <c r="D73" s="50"/>
      <c r="E73" s="50">
        <v>3722</v>
      </c>
      <c r="F73" s="50" t="s">
        <v>81</v>
      </c>
      <c r="G73" s="34">
        <v>11763.801181232995</v>
      </c>
      <c r="H73" s="51"/>
      <c r="I73" s="51">
        <v>20000</v>
      </c>
      <c r="J73" s="34">
        <v>14401.12</v>
      </c>
      <c r="K73" s="34">
        <f t="shared" si="2"/>
        <v>122.41893396646628</v>
      </c>
      <c r="L73" s="34">
        <f t="shared" si="3"/>
        <v>72.005600000000001</v>
      </c>
    </row>
    <row r="74" spans="2:12" ht="36" customHeight="1">
      <c r="B74" s="63"/>
      <c r="C74" s="63">
        <v>38</v>
      </c>
      <c r="D74" s="63"/>
      <c r="E74" s="63"/>
      <c r="F74" s="63" t="s">
        <v>56</v>
      </c>
      <c r="G74" s="87">
        <v>0</v>
      </c>
      <c r="H74" s="83"/>
      <c r="I74" s="83">
        <v>361.47</v>
      </c>
      <c r="J74" s="93">
        <v>361.47</v>
      </c>
      <c r="K74" s="86"/>
      <c r="L74" s="86">
        <f t="shared" si="3"/>
        <v>100</v>
      </c>
    </row>
    <row r="75" spans="2:12" ht="26.25" customHeight="1">
      <c r="B75" s="53"/>
      <c r="C75" s="53"/>
      <c r="D75" s="53">
        <v>381</v>
      </c>
      <c r="E75" s="53"/>
      <c r="F75" s="53" t="s">
        <v>80</v>
      </c>
      <c r="G75" s="105">
        <v>0</v>
      </c>
      <c r="H75" s="102"/>
      <c r="I75" s="102">
        <v>361.47</v>
      </c>
      <c r="J75" s="101">
        <v>361.47</v>
      </c>
      <c r="K75" s="100"/>
      <c r="L75" s="100">
        <f t="shared" si="3"/>
        <v>100</v>
      </c>
    </row>
    <row r="76" spans="2:12">
      <c r="B76" s="50"/>
      <c r="C76" s="50"/>
      <c r="D76" s="50"/>
      <c r="E76" s="50">
        <v>3812</v>
      </c>
      <c r="F76" s="50" t="s">
        <v>82</v>
      </c>
      <c r="G76" s="34">
        <v>0</v>
      </c>
      <c r="H76" s="51"/>
      <c r="I76" s="51">
        <v>361.47</v>
      </c>
      <c r="J76" s="45">
        <v>361.47</v>
      </c>
      <c r="K76" s="34"/>
      <c r="L76" s="34">
        <f t="shared" si="3"/>
        <v>100</v>
      </c>
    </row>
    <row r="77" spans="2:12" ht="33" customHeight="1">
      <c r="B77" s="64">
        <v>4</v>
      </c>
      <c r="C77" s="64"/>
      <c r="D77" s="64"/>
      <c r="E77" s="64"/>
      <c r="F77" s="65" t="s">
        <v>6</v>
      </c>
      <c r="G77" s="106">
        <v>234751.17318202934</v>
      </c>
      <c r="H77" s="98"/>
      <c r="I77" s="96">
        <f>I78+I86</f>
        <v>133269.81</v>
      </c>
      <c r="J77" s="97">
        <f>J78+J86</f>
        <v>37224.559999999998</v>
      </c>
      <c r="K77" s="97">
        <f t="shared" si="2"/>
        <v>15.857028314459393</v>
      </c>
      <c r="L77" s="97">
        <f t="shared" si="3"/>
        <v>27.931727373213782</v>
      </c>
    </row>
    <row r="78" spans="2:12" ht="33.75" customHeight="1">
      <c r="B78" s="49"/>
      <c r="C78" s="48">
        <v>42</v>
      </c>
      <c r="D78" s="49"/>
      <c r="E78" s="49"/>
      <c r="F78" s="66" t="s">
        <v>83</v>
      </c>
      <c r="G78" s="86">
        <v>31855.173182029332</v>
      </c>
      <c r="H78" s="83">
        <f>663.61+20000</f>
        <v>20663.61</v>
      </c>
      <c r="I78" s="94">
        <f>I79+I82+I84</f>
        <v>36494.379999999997</v>
      </c>
      <c r="J78" s="86">
        <f>J79+J82+J84</f>
        <v>26943.579999999998</v>
      </c>
      <c r="K78" s="87">
        <f t="shared" si="2"/>
        <v>84.581489625050466</v>
      </c>
      <c r="L78" s="87">
        <f t="shared" si="3"/>
        <v>73.82939510138273</v>
      </c>
    </row>
    <row r="79" spans="2:12">
      <c r="B79" s="57"/>
      <c r="C79" s="57"/>
      <c r="D79" s="53">
        <v>422</v>
      </c>
      <c r="E79" s="53"/>
      <c r="F79" s="53" t="s">
        <v>84</v>
      </c>
      <c r="G79" s="46">
        <v>14299.45318202933</v>
      </c>
      <c r="H79" s="54"/>
      <c r="I79" s="58">
        <f>I80+I81</f>
        <v>7581.92</v>
      </c>
      <c r="J79" s="46">
        <f>J80+J81</f>
        <v>7452.7</v>
      </c>
      <c r="K79" s="46">
        <f t="shared" si="2"/>
        <v>52.118776187652358</v>
      </c>
      <c r="L79" s="46">
        <f t="shared" si="3"/>
        <v>98.295682360140972</v>
      </c>
    </row>
    <row r="80" spans="2:12">
      <c r="B80" s="59"/>
      <c r="C80" s="59"/>
      <c r="D80" s="50"/>
      <c r="E80" s="50">
        <v>4221</v>
      </c>
      <c r="F80" s="50" t="s">
        <v>85</v>
      </c>
      <c r="G80" s="34">
        <v>8500.1300683522459</v>
      </c>
      <c r="H80" s="51"/>
      <c r="I80" s="60">
        <f>5244.13+843.87</f>
        <v>6088</v>
      </c>
      <c r="J80" s="34">
        <v>6583.95</v>
      </c>
      <c r="K80" s="34">
        <f t="shared" si="2"/>
        <v>77.457050034015566</v>
      </c>
      <c r="L80" s="34">
        <f t="shared" si="3"/>
        <v>108.14635348226018</v>
      </c>
    </row>
    <row r="81" spans="2:12">
      <c r="B81" s="59"/>
      <c r="C81" s="59"/>
      <c r="D81" s="50"/>
      <c r="E81" s="50">
        <v>4227</v>
      </c>
      <c r="F81" s="50" t="s">
        <v>86</v>
      </c>
      <c r="G81" s="34">
        <v>5799.3231136770855</v>
      </c>
      <c r="H81" s="51"/>
      <c r="I81" s="60">
        <v>1493.92</v>
      </c>
      <c r="J81" s="45">
        <v>868.75</v>
      </c>
      <c r="K81" s="34">
        <f t="shared" si="2"/>
        <v>14.98019653278407</v>
      </c>
      <c r="L81" s="34">
        <f t="shared" si="3"/>
        <v>58.152377637356743</v>
      </c>
    </row>
    <row r="82" spans="2:12">
      <c r="B82" s="57"/>
      <c r="C82" s="57"/>
      <c r="D82" s="53">
        <v>424</v>
      </c>
      <c r="E82" s="53"/>
      <c r="F82" s="53" t="s">
        <v>87</v>
      </c>
      <c r="G82" s="107">
        <v>10156.42</v>
      </c>
      <c r="H82" s="54">
        <f>663.61+20000</f>
        <v>20663.61</v>
      </c>
      <c r="I82" s="58">
        <f>2873.85+20000+663.61</f>
        <v>23537.46</v>
      </c>
      <c r="J82" s="46">
        <v>14115.88</v>
      </c>
      <c r="K82" s="46">
        <f t="shared" si="2"/>
        <v>138.9847997621209</v>
      </c>
      <c r="L82" s="46">
        <f t="shared" si="3"/>
        <v>59.97197658540896</v>
      </c>
    </row>
    <row r="83" spans="2:12">
      <c r="B83" s="59"/>
      <c r="C83" s="59"/>
      <c r="D83" s="50"/>
      <c r="E83" s="50">
        <v>4241</v>
      </c>
      <c r="F83" s="50" t="s">
        <v>88</v>
      </c>
      <c r="G83" s="34">
        <v>10156.424447541309</v>
      </c>
      <c r="H83" s="51">
        <f>663.61+20000</f>
        <v>20663.61</v>
      </c>
      <c r="I83" s="60">
        <f>2873.85+20000+663.61</f>
        <v>23537.46</v>
      </c>
      <c r="J83" s="34">
        <v>14115.88</v>
      </c>
      <c r="K83" s="34">
        <f t="shared" si="2"/>
        <v>138.98473890008808</v>
      </c>
      <c r="L83" s="34">
        <f t="shared" si="3"/>
        <v>59.97197658540896</v>
      </c>
    </row>
    <row r="84" spans="2:12">
      <c r="B84" s="57"/>
      <c r="C84" s="57"/>
      <c r="D84" s="53">
        <v>426</v>
      </c>
      <c r="E84" s="53"/>
      <c r="F84" s="53" t="s">
        <v>89</v>
      </c>
      <c r="G84" s="107">
        <v>7399.3</v>
      </c>
      <c r="H84" s="54"/>
      <c r="I84" s="58">
        <v>5375</v>
      </c>
      <c r="J84" s="46">
        <v>5375</v>
      </c>
      <c r="K84" s="46">
        <f t="shared" si="2"/>
        <v>72.642006676307219</v>
      </c>
      <c r="L84" s="46">
        <f t="shared" si="3"/>
        <v>100</v>
      </c>
    </row>
    <row r="85" spans="2:12">
      <c r="B85" s="59"/>
      <c r="C85" s="59"/>
      <c r="D85" s="50"/>
      <c r="E85" s="50">
        <v>4264</v>
      </c>
      <c r="F85" s="50" t="s">
        <v>90</v>
      </c>
      <c r="G85" s="34">
        <v>7399.2965691154022</v>
      </c>
      <c r="H85" s="51"/>
      <c r="I85" s="60">
        <v>5375</v>
      </c>
      <c r="J85" s="34">
        <v>5375</v>
      </c>
      <c r="K85" s="34">
        <f t="shared" si="2"/>
        <v>72.642040358744396</v>
      </c>
      <c r="L85" s="34">
        <f t="shared" si="3"/>
        <v>100</v>
      </c>
    </row>
    <row r="86" spans="2:12" ht="31.5" customHeight="1">
      <c r="B86" s="49"/>
      <c r="C86" s="48">
        <v>45</v>
      </c>
      <c r="D86" s="62"/>
      <c r="E86" s="62"/>
      <c r="F86" s="63" t="s">
        <v>91</v>
      </c>
      <c r="G86" s="86">
        <v>202896</v>
      </c>
      <c r="H86" s="95"/>
      <c r="I86" s="94">
        <f>74437+22338.43</f>
        <v>96775.43</v>
      </c>
      <c r="J86" s="86">
        <v>10280.98</v>
      </c>
      <c r="K86" s="87">
        <f t="shared" si="2"/>
        <v>5.0671181294850562</v>
      </c>
      <c r="L86" s="87">
        <f t="shared" si="3"/>
        <v>10.623543599857939</v>
      </c>
    </row>
    <row r="87" spans="2:12">
      <c r="B87" s="57"/>
      <c r="C87" s="57"/>
      <c r="D87" s="53">
        <v>451</v>
      </c>
      <c r="E87" s="53"/>
      <c r="F87" s="53" t="s">
        <v>92</v>
      </c>
      <c r="G87" s="108">
        <v>202896</v>
      </c>
      <c r="H87" s="54"/>
      <c r="I87" s="58">
        <f>74437+22338.43</f>
        <v>96775.43</v>
      </c>
      <c r="J87" s="46">
        <v>10280.98</v>
      </c>
      <c r="K87" s="46">
        <f t="shared" si="2"/>
        <v>5.0671181294850562</v>
      </c>
      <c r="L87" s="46">
        <f t="shared" si="3"/>
        <v>10.623543599857939</v>
      </c>
    </row>
    <row r="88" spans="2:12">
      <c r="B88" s="59"/>
      <c r="C88" s="59"/>
      <c r="D88" s="50"/>
      <c r="E88" s="50">
        <v>4511</v>
      </c>
      <c r="F88" s="50" t="s">
        <v>92</v>
      </c>
      <c r="G88" s="34">
        <v>202895.99840732629</v>
      </c>
      <c r="H88" s="51"/>
      <c r="I88" s="60">
        <f>74437+22338.43</f>
        <v>96775.43</v>
      </c>
      <c r="J88" s="34">
        <v>10280.98</v>
      </c>
      <c r="K88" s="34">
        <f t="shared" si="2"/>
        <v>5.0671181692604383</v>
      </c>
      <c r="L88" s="34">
        <f t="shared" si="3"/>
        <v>10.623543599857939</v>
      </c>
    </row>
    <row r="89" spans="2:12">
      <c r="G89" s="27"/>
    </row>
    <row r="90" spans="2:12">
      <c r="G90" s="27"/>
      <c r="J90" s="27"/>
    </row>
    <row r="91" spans="2:12" ht="15" customHeight="1">
      <c r="B91" s="12"/>
      <c r="C91" s="12"/>
      <c r="D91" s="12"/>
      <c r="E91" s="12"/>
      <c r="F91" s="12"/>
      <c r="G91" s="28"/>
      <c r="H91" s="12"/>
      <c r="I91" s="28"/>
      <c r="J91" s="12"/>
      <c r="K91" s="12"/>
      <c r="L91" s="28"/>
    </row>
    <row r="92" spans="2:12">
      <c r="B92" s="12"/>
      <c r="C92" s="12"/>
      <c r="D92" s="12"/>
      <c r="E92" s="12"/>
      <c r="F92" s="12"/>
      <c r="G92" s="12"/>
      <c r="H92" s="12"/>
      <c r="I92" s="28"/>
      <c r="J92" s="12"/>
      <c r="K92" s="12"/>
      <c r="L92" s="28"/>
    </row>
    <row r="93" spans="2:12" ht="4.5" customHeight="1">
      <c r="B93" s="12"/>
      <c r="C93" s="12"/>
      <c r="D93" s="12"/>
      <c r="E93" s="12"/>
      <c r="F93" s="12"/>
      <c r="G93" s="12"/>
      <c r="H93" s="12"/>
      <c r="I93" s="28"/>
      <c r="J93" s="12"/>
      <c r="K93" s="12"/>
      <c r="L93" s="28"/>
    </row>
  </sheetData>
  <mergeCells count="8">
    <mergeCell ref="B2:E5"/>
    <mergeCell ref="F2:L5"/>
    <mergeCell ref="B32:F32"/>
    <mergeCell ref="B7:F7"/>
    <mergeCell ref="B31:F31"/>
    <mergeCell ref="B6:F6"/>
    <mergeCell ref="B30:L30"/>
    <mergeCell ref="B28:F28"/>
  </mergeCells>
  <pageMargins left="0.7" right="0.7" top="0.75" bottom="0.75" header="0.3" footer="0.3"/>
  <pageSetup paperSize="9" scale="60" fitToHeight="0" orientation="landscape" r:id="rId1"/>
  <rowBreaks count="1" manualBreakCount="1">
    <brk id="30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opLeftCell="A16" zoomScaleNormal="100" workbookViewId="0">
      <selection activeCell="E32" sqref="E32"/>
    </sheetView>
  </sheetViews>
  <sheetFormatPr defaultRowHeight="15"/>
  <cols>
    <col min="2" max="2" width="37.7109375" customWidth="1"/>
    <col min="3" max="3" width="23.42578125" customWidth="1"/>
    <col min="4" max="4" width="18.28515625" customWidth="1"/>
    <col min="5" max="5" width="19.85546875" customWidth="1"/>
    <col min="6" max="6" width="18.42578125" customWidth="1"/>
    <col min="7" max="8" width="15.7109375" customWidth="1"/>
    <col min="11" max="11" width="11.7109375" style="27" bestFit="1" customWidth="1"/>
  </cols>
  <sheetData>
    <row r="1" spans="2:8">
      <c r="B1" s="280" t="s">
        <v>214</v>
      </c>
      <c r="C1" s="280"/>
      <c r="D1" s="280"/>
      <c r="E1" s="280"/>
      <c r="F1" s="280"/>
      <c r="G1" s="280"/>
      <c r="H1" s="280"/>
    </row>
    <row r="2" spans="2:8" ht="15.75" customHeight="1">
      <c r="B2" s="280"/>
      <c r="C2" s="280"/>
      <c r="D2" s="280"/>
      <c r="E2" s="280"/>
      <c r="F2" s="280"/>
      <c r="G2" s="280"/>
      <c r="H2" s="280"/>
    </row>
    <row r="3" spans="2:8">
      <c r="B3" s="280"/>
      <c r="C3" s="280"/>
      <c r="D3" s="280"/>
      <c r="E3" s="280"/>
      <c r="F3" s="280"/>
      <c r="G3" s="280"/>
      <c r="H3" s="280"/>
    </row>
    <row r="4" spans="2:8" ht="39.75" customHeight="1">
      <c r="B4" s="281"/>
      <c r="C4" s="281"/>
      <c r="D4" s="281"/>
      <c r="E4" s="281"/>
      <c r="F4" s="281"/>
      <c r="G4" s="281"/>
      <c r="H4" s="281"/>
    </row>
    <row r="5" spans="2:8" ht="33.75" customHeight="1">
      <c r="B5" s="77" t="s">
        <v>7</v>
      </c>
      <c r="C5" s="77" t="s">
        <v>180</v>
      </c>
      <c r="D5" s="77" t="s">
        <v>177</v>
      </c>
      <c r="E5" s="77" t="s">
        <v>178</v>
      </c>
      <c r="F5" s="77" t="s">
        <v>179</v>
      </c>
      <c r="G5" s="77" t="s">
        <v>14</v>
      </c>
      <c r="H5" s="77" t="s">
        <v>14</v>
      </c>
    </row>
    <row r="6" spans="2:8">
      <c r="B6" s="77">
        <v>1</v>
      </c>
      <c r="C6" s="77"/>
      <c r="D6" s="77">
        <v>3</v>
      </c>
      <c r="E6" s="77">
        <v>4</v>
      </c>
      <c r="F6" s="77">
        <v>5</v>
      </c>
      <c r="G6" s="77" t="s">
        <v>25</v>
      </c>
      <c r="H6" s="77" t="s">
        <v>26</v>
      </c>
    </row>
    <row r="7" spans="2:8" ht="26.25" customHeight="1">
      <c r="B7" s="61" t="s">
        <v>27</v>
      </c>
      <c r="C7" s="128">
        <v>919602.02800451254</v>
      </c>
      <c r="D7" s="128">
        <f>D11+D13+D15+D16+D17</f>
        <v>754733.04</v>
      </c>
      <c r="E7" s="128">
        <f>E8+E9+E10+E11+E13+E14+E15+E16+E17</f>
        <v>961473.03999999992</v>
      </c>
      <c r="F7" s="128">
        <f>F8+F9+F10+F11+F13+F15+F16+F17+F18</f>
        <v>831305.69</v>
      </c>
      <c r="G7" s="34">
        <f>F7/C7*100</f>
        <v>90.3984185206604</v>
      </c>
      <c r="H7" s="34">
        <f>F7/E7*100</f>
        <v>86.461674473992531</v>
      </c>
    </row>
    <row r="8" spans="2:8">
      <c r="B8" s="59" t="s">
        <v>12</v>
      </c>
      <c r="C8" s="124">
        <v>14544.70900524255</v>
      </c>
      <c r="D8" s="51"/>
      <c r="E8" s="51">
        <v>47039.64</v>
      </c>
      <c r="F8" s="74">
        <v>34982.1</v>
      </c>
      <c r="G8" s="34">
        <f t="shared" ref="G8:G32" si="0">F8/C8*100</f>
        <v>240.51426527262194</v>
      </c>
      <c r="H8" s="34">
        <f>F8/E8*100</f>
        <v>74.367278321007561</v>
      </c>
    </row>
    <row r="9" spans="2:8">
      <c r="B9" s="59" t="s">
        <v>98</v>
      </c>
      <c r="C9" s="124">
        <v>115129.74318136572</v>
      </c>
      <c r="D9" s="51"/>
      <c r="E9" s="51">
        <v>6873.72</v>
      </c>
      <c r="F9" s="74">
        <v>3011.72</v>
      </c>
      <c r="G9" s="34">
        <f t="shared" si="0"/>
        <v>2.6159356537915572</v>
      </c>
      <c r="H9" s="34">
        <f t="shared" ref="H9:H20" si="1">F9/E9*100</f>
        <v>43.814993918867799</v>
      </c>
    </row>
    <row r="10" spans="2:8">
      <c r="B10" s="59" t="s">
        <v>13</v>
      </c>
      <c r="C10" s="124"/>
      <c r="D10" s="51"/>
      <c r="E10" s="60">
        <v>1212.96</v>
      </c>
      <c r="F10" s="74">
        <v>1212.96</v>
      </c>
      <c r="G10" s="34"/>
      <c r="H10" s="34">
        <f t="shared" si="1"/>
        <v>100</v>
      </c>
    </row>
    <row r="11" spans="2:8">
      <c r="B11" s="59" t="s">
        <v>185</v>
      </c>
      <c r="C11" s="124">
        <v>20457.297763620678</v>
      </c>
      <c r="D11" s="51">
        <v>25480</v>
      </c>
      <c r="E11" s="60">
        <v>13496.69</v>
      </c>
      <c r="F11" s="75">
        <v>12218.18</v>
      </c>
      <c r="G11" s="34">
        <f t="shared" si="0"/>
        <v>59.725287969008569</v>
      </c>
      <c r="H11" s="34">
        <f t="shared" si="1"/>
        <v>90.527232973417924</v>
      </c>
    </row>
    <row r="12" spans="2:8" ht="30">
      <c r="B12" s="134" t="s">
        <v>221</v>
      </c>
      <c r="C12" s="125">
        <v>1275.7050899197025</v>
      </c>
      <c r="D12" s="51">
        <v>329.66</v>
      </c>
      <c r="E12" s="60">
        <v>1839.2</v>
      </c>
      <c r="F12" s="30"/>
      <c r="G12" s="34">
        <f t="shared" si="0"/>
        <v>0</v>
      </c>
      <c r="H12" s="34">
        <f t="shared" si="1"/>
        <v>0</v>
      </c>
    </row>
    <row r="13" spans="2:8">
      <c r="B13" s="59" t="s">
        <v>93</v>
      </c>
      <c r="C13" s="124">
        <v>211817.88174397769</v>
      </c>
      <c r="D13" s="51">
        <v>103509.03</v>
      </c>
      <c r="E13" s="60">
        <v>180259.04</v>
      </c>
      <c r="F13" s="74">
        <f>146306.06-F8-F9</f>
        <v>108312.23999999999</v>
      </c>
      <c r="G13" s="34">
        <f t="shared" si="0"/>
        <v>51.134606345896707</v>
      </c>
      <c r="H13" s="34">
        <f t="shared" si="1"/>
        <v>60.086994804809777</v>
      </c>
    </row>
    <row r="14" spans="2:8">
      <c r="B14" s="59" t="s">
        <v>100</v>
      </c>
      <c r="C14" s="124"/>
      <c r="D14" s="51"/>
      <c r="E14" s="60">
        <v>19944.240000000002</v>
      </c>
      <c r="F14" s="74"/>
      <c r="G14" s="34"/>
      <c r="H14" s="34"/>
    </row>
    <row r="15" spans="2:8">
      <c r="B15" s="59" t="s">
        <v>94</v>
      </c>
      <c r="C15" s="124">
        <v>520318.11268166429</v>
      </c>
      <c r="D15" s="51">
        <f>1061.78+572780.11+20663.61</f>
        <v>594505.5</v>
      </c>
      <c r="E15" s="60">
        <v>651212.71</v>
      </c>
      <c r="F15" s="76">
        <f>670192.26-F16</f>
        <v>633738.07000000007</v>
      </c>
      <c r="G15" s="34">
        <f t="shared" si="0"/>
        <v>121.79819509526226</v>
      </c>
      <c r="H15" s="34">
        <f t="shared" si="1"/>
        <v>97.31660028564248</v>
      </c>
    </row>
    <row r="16" spans="2:8">
      <c r="B16" s="59" t="s">
        <v>96</v>
      </c>
      <c r="C16" s="124">
        <v>28790.441303337975</v>
      </c>
      <c r="D16" s="51">
        <v>18533.509999999998</v>
      </c>
      <c r="E16" s="60">
        <v>40109.21</v>
      </c>
      <c r="F16" s="34">
        <v>36454.19</v>
      </c>
      <c r="G16" s="34">
        <f t="shared" si="0"/>
        <v>126.61907337896029</v>
      </c>
      <c r="H16" s="34">
        <f t="shared" si="1"/>
        <v>90.887329867628921</v>
      </c>
    </row>
    <row r="17" spans="2:8">
      <c r="B17" s="59" t="s">
        <v>97</v>
      </c>
      <c r="C17" s="124">
        <v>8543.8423253036035</v>
      </c>
      <c r="D17" s="51">
        <v>12705</v>
      </c>
      <c r="E17" s="60">
        <v>1324.83</v>
      </c>
      <c r="F17" s="34">
        <v>850.28</v>
      </c>
      <c r="G17" s="34">
        <f t="shared" si="0"/>
        <v>9.9519626840700788</v>
      </c>
      <c r="H17" s="34">
        <f t="shared" si="1"/>
        <v>64.180309926556617</v>
      </c>
    </row>
    <row r="18" spans="2:8">
      <c r="B18" s="123" t="s">
        <v>99</v>
      </c>
      <c r="C18" s="125"/>
      <c r="D18" s="51"/>
      <c r="E18" s="29"/>
      <c r="F18" s="34">
        <v>525.95000000000005</v>
      </c>
      <c r="G18" s="34"/>
      <c r="H18" s="34"/>
    </row>
    <row r="19" spans="2:8">
      <c r="B19" s="123" t="s">
        <v>227</v>
      </c>
      <c r="C19" s="125">
        <v>-10402.11</v>
      </c>
      <c r="D19" s="51"/>
      <c r="E19" s="29"/>
      <c r="F19" s="224"/>
      <c r="G19" s="34"/>
      <c r="H19" s="34"/>
    </row>
    <row r="20" spans="2:8" ht="41.25" customHeight="1">
      <c r="B20" s="57" t="s">
        <v>220</v>
      </c>
      <c r="C20" s="126">
        <v>920877.73309443227</v>
      </c>
      <c r="D20" s="120">
        <f>D7+D12</f>
        <v>755062.70000000007</v>
      </c>
      <c r="E20" s="121">
        <f>E7+E12</f>
        <v>963312.23999999987</v>
      </c>
      <c r="F20" s="122">
        <f>831305.69+F19-10402.11</f>
        <v>820903.58</v>
      </c>
      <c r="G20" s="127">
        <f t="shared" si="0"/>
        <v>89.143601859229619</v>
      </c>
      <c r="H20" s="122">
        <f t="shared" si="1"/>
        <v>85.216770421187633</v>
      </c>
    </row>
    <row r="21" spans="2:8" ht="15.75" customHeight="1">
      <c r="B21" s="59" t="s">
        <v>12</v>
      </c>
      <c r="C21" s="124">
        <v>14544.70900524255</v>
      </c>
      <c r="D21" s="51"/>
      <c r="E21" s="51">
        <v>47039.64</v>
      </c>
      <c r="F21" s="34">
        <v>34982.1</v>
      </c>
      <c r="G21" s="34">
        <f t="shared" si="0"/>
        <v>240.51426527262194</v>
      </c>
      <c r="H21" s="34">
        <f t="shared" ref="H21:H32" si="2">F21/E21*100</f>
        <v>74.367278321007561</v>
      </c>
    </row>
    <row r="22" spans="2:8">
      <c r="B22" s="59" t="s">
        <v>98</v>
      </c>
      <c r="C22" s="124">
        <v>115104.76474882208</v>
      </c>
      <c r="D22" s="51"/>
      <c r="E22" s="51">
        <v>6873.72</v>
      </c>
      <c r="F22" s="34">
        <v>3011.72</v>
      </c>
      <c r="G22" s="34">
        <f t="shared" si="0"/>
        <v>2.6165033277050505</v>
      </c>
      <c r="H22" s="34">
        <f t="shared" si="2"/>
        <v>43.814993918867799</v>
      </c>
    </row>
    <row r="23" spans="2:8">
      <c r="B23" s="59" t="s">
        <v>13</v>
      </c>
      <c r="C23" s="124">
        <v>0</v>
      </c>
      <c r="D23" s="51"/>
      <c r="E23" s="60">
        <v>1212.96</v>
      </c>
      <c r="F23" s="34">
        <v>1087.53</v>
      </c>
      <c r="G23" s="34"/>
      <c r="H23" s="34">
        <f t="shared" si="2"/>
        <v>89.659180846853971</v>
      </c>
    </row>
    <row r="24" spans="2:8">
      <c r="B24" s="59" t="s">
        <v>185</v>
      </c>
      <c r="C24" s="124">
        <v>20457.296436392593</v>
      </c>
      <c r="D24" s="51">
        <v>25480</v>
      </c>
      <c r="E24" s="60">
        <v>13496.69</v>
      </c>
      <c r="F24" s="34">
        <v>7954.51</v>
      </c>
      <c r="G24" s="34">
        <f t="shared" si="0"/>
        <v>38.883486020417102</v>
      </c>
      <c r="H24" s="34">
        <f t="shared" si="2"/>
        <v>58.936746713453445</v>
      </c>
    </row>
    <row r="25" spans="2:8">
      <c r="B25" s="134" t="s">
        <v>95</v>
      </c>
      <c r="C25" s="125">
        <v>1275.7050899197025</v>
      </c>
      <c r="D25" s="51">
        <v>329.66</v>
      </c>
      <c r="E25" s="60">
        <v>1839.2</v>
      </c>
      <c r="F25" s="45">
        <v>923.24</v>
      </c>
      <c r="G25" s="34">
        <f t="shared" si="0"/>
        <v>72.370958405293507</v>
      </c>
      <c r="H25" s="34">
        <f t="shared" si="2"/>
        <v>50.197912135711178</v>
      </c>
    </row>
    <row r="26" spans="2:8">
      <c r="B26" s="59" t="s">
        <v>93</v>
      </c>
      <c r="C26" s="124">
        <v>211817.88174397769</v>
      </c>
      <c r="D26" s="51">
        <v>103509.03</v>
      </c>
      <c r="E26" s="60">
        <v>180259.04</v>
      </c>
      <c r="F26" s="34">
        <v>106097.37</v>
      </c>
      <c r="G26" s="34">
        <f t="shared" si="0"/>
        <v>50.088958083453463</v>
      </c>
      <c r="H26" s="34">
        <f t="shared" si="2"/>
        <v>58.858279728994447</v>
      </c>
    </row>
    <row r="27" spans="2:8">
      <c r="B27" s="59" t="s">
        <v>100</v>
      </c>
      <c r="C27" s="124">
        <v>0</v>
      </c>
      <c r="D27" s="51"/>
      <c r="E27" s="60">
        <v>19944.240000000002</v>
      </c>
      <c r="F27" s="34">
        <v>15518.83</v>
      </c>
      <c r="G27" s="34"/>
      <c r="H27" s="34">
        <f t="shared" si="2"/>
        <v>77.811087311424245</v>
      </c>
    </row>
    <row r="28" spans="2:8">
      <c r="B28" s="59" t="s">
        <v>94</v>
      </c>
      <c r="C28" s="124">
        <v>520318.11268166435</v>
      </c>
      <c r="D28" s="51">
        <f>1061.78+572780.11+20663.61</f>
        <v>594505.5</v>
      </c>
      <c r="E28" s="60">
        <v>651212.71</v>
      </c>
      <c r="F28" s="34">
        <v>637583.26</v>
      </c>
      <c r="G28" s="34">
        <f t="shared" si="0"/>
        <v>122.53720261898313</v>
      </c>
      <c r="H28" s="34">
        <f t="shared" si="2"/>
        <v>97.907066340888832</v>
      </c>
    </row>
    <row r="29" spans="2:8">
      <c r="B29" s="59" t="s">
        <v>96</v>
      </c>
      <c r="C29" s="124">
        <v>28790.441303337975</v>
      </c>
      <c r="D29" s="51">
        <v>18533.509999999998</v>
      </c>
      <c r="E29" s="60">
        <v>40109.21</v>
      </c>
      <c r="F29" s="34">
        <v>36454.19</v>
      </c>
      <c r="G29" s="34">
        <f t="shared" si="0"/>
        <v>126.61907337896029</v>
      </c>
      <c r="H29" s="34">
        <f t="shared" si="2"/>
        <v>90.887329867628921</v>
      </c>
    </row>
    <row r="30" spans="2:8">
      <c r="B30" s="59" t="s">
        <v>97</v>
      </c>
      <c r="C30" s="124">
        <v>8543.8423253036035</v>
      </c>
      <c r="D30" s="51">
        <v>12705</v>
      </c>
      <c r="E30" s="60">
        <v>1324.83</v>
      </c>
      <c r="F30" s="45">
        <v>850.28</v>
      </c>
      <c r="G30" s="34">
        <f t="shared" si="0"/>
        <v>9.9519626840700788</v>
      </c>
      <c r="H30" s="34">
        <f t="shared" si="2"/>
        <v>64.180309926556617</v>
      </c>
    </row>
    <row r="31" spans="2:8">
      <c r="B31" s="123" t="s">
        <v>186</v>
      </c>
      <c r="C31" s="125"/>
      <c r="D31" s="51"/>
      <c r="E31" s="60"/>
      <c r="F31" s="45">
        <v>525.95000000000005</v>
      </c>
      <c r="G31" s="34"/>
      <c r="H31" s="39"/>
    </row>
    <row r="32" spans="2:8" ht="39" customHeight="1">
      <c r="B32" s="57" t="s">
        <v>28</v>
      </c>
      <c r="C32" s="126">
        <v>920852.75333466055</v>
      </c>
      <c r="D32" s="120">
        <f>SUM(D24:D31)</f>
        <v>755062.7</v>
      </c>
      <c r="E32" s="121">
        <f>SUM(E21:E31)</f>
        <v>963312.23999999987</v>
      </c>
      <c r="F32" s="122">
        <f>SUM(F21:F31)</f>
        <v>844988.98</v>
      </c>
      <c r="G32" s="127">
        <f t="shared" si="0"/>
        <v>91.761573925914092</v>
      </c>
      <c r="H32" s="122">
        <f t="shared" si="2"/>
        <v>87.717039700440239</v>
      </c>
    </row>
    <row r="33" spans="2:11" ht="15" customHeight="1">
      <c r="B33" s="12"/>
      <c r="C33" s="12"/>
      <c r="D33" s="12"/>
      <c r="E33" s="12"/>
      <c r="F33" s="12"/>
      <c r="G33" s="28"/>
      <c r="H33" s="12"/>
      <c r="I33" s="12"/>
      <c r="J33" s="12"/>
      <c r="K33" s="28"/>
    </row>
    <row r="34" spans="2:11">
      <c r="B34" s="12"/>
      <c r="C34" s="12"/>
      <c r="D34" s="12"/>
      <c r="E34" s="12"/>
      <c r="F34" s="12"/>
      <c r="G34" s="12"/>
      <c r="H34" s="12"/>
      <c r="I34" s="12"/>
      <c r="J34" s="12"/>
      <c r="K34" s="28"/>
    </row>
    <row r="35" spans="2:11">
      <c r="B35" s="12"/>
      <c r="C35" s="12"/>
      <c r="D35" s="12"/>
      <c r="E35" s="12"/>
      <c r="F35" s="12"/>
      <c r="G35" s="12"/>
      <c r="H35" s="12"/>
      <c r="I35" s="12"/>
      <c r="J35" s="12"/>
      <c r="K35" s="28"/>
    </row>
  </sheetData>
  <mergeCells count="1">
    <mergeCell ref="B1:H4"/>
  </mergeCells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88"/>
  <sheetViews>
    <sheetView topLeftCell="A229" zoomScaleNormal="100" workbookViewId="0">
      <selection activeCell="I255" sqref="I255"/>
    </sheetView>
  </sheetViews>
  <sheetFormatPr defaultColWidth="9.140625" defaultRowHeight="15"/>
  <cols>
    <col min="2" max="2" width="14.28515625" customWidth="1"/>
    <col min="3" max="3" width="47.85546875" customWidth="1"/>
    <col min="4" max="4" width="12.7109375" customWidth="1"/>
    <col min="5" max="6" width="13.28515625" customWidth="1"/>
    <col min="7" max="7" width="13.5703125" style="27" customWidth="1"/>
    <col min="9" max="9" width="10.140625" bestFit="1" customWidth="1"/>
    <col min="11" max="11" width="10.140625" bestFit="1" customWidth="1"/>
  </cols>
  <sheetData>
    <row r="1" spans="2:7" ht="54.75" customHeight="1">
      <c r="B1" s="282" t="s">
        <v>187</v>
      </c>
      <c r="C1" s="282"/>
      <c r="D1" s="282"/>
      <c r="E1" s="282"/>
      <c r="F1" s="282"/>
      <c r="G1" s="282"/>
    </row>
    <row r="2" spans="2:7" ht="33.75" customHeight="1">
      <c r="B2" s="284" t="s">
        <v>202</v>
      </c>
      <c r="C2" s="284"/>
      <c r="D2" s="136"/>
      <c r="E2" s="136"/>
      <c r="F2" s="136"/>
      <c r="G2" s="136"/>
    </row>
    <row r="3" spans="2:7" ht="22.5" customHeight="1">
      <c r="B3" s="139" t="s">
        <v>101</v>
      </c>
      <c r="C3" s="140" t="s">
        <v>102</v>
      </c>
      <c r="D3" s="140"/>
      <c r="E3" s="141"/>
      <c r="F3" s="141"/>
      <c r="G3" s="142"/>
    </row>
    <row r="4" spans="2:7" ht="22.5" customHeight="1">
      <c r="B4" s="285" t="s">
        <v>204</v>
      </c>
      <c r="C4" s="286"/>
      <c r="D4" s="286"/>
      <c r="E4" s="286"/>
      <c r="F4" s="286"/>
      <c r="G4" s="286"/>
    </row>
    <row r="5" spans="2:7" ht="24" customHeight="1">
      <c r="B5" s="283" t="s">
        <v>103</v>
      </c>
      <c r="C5" s="283"/>
      <c r="D5" s="143"/>
      <c r="E5" s="144"/>
      <c r="F5" s="144"/>
      <c r="G5" s="145"/>
    </row>
    <row r="6" spans="2:7" ht="42.75">
      <c r="B6" s="146" t="s">
        <v>104</v>
      </c>
      <c r="C6" s="147" t="s">
        <v>105</v>
      </c>
      <c r="D6" s="148" t="s">
        <v>190</v>
      </c>
      <c r="E6" s="149" t="s">
        <v>191</v>
      </c>
      <c r="F6" s="149" t="s">
        <v>141</v>
      </c>
      <c r="G6" s="150" t="s">
        <v>201</v>
      </c>
    </row>
    <row r="7" spans="2:7">
      <c r="B7" s="148">
        <v>1</v>
      </c>
      <c r="C7" s="151">
        <v>2</v>
      </c>
      <c r="D7" s="151">
        <v>3</v>
      </c>
      <c r="E7" s="149">
        <v>4</v>
      </c>
      <c r="F7" s="149">
        <v>5</v>
      </c>
      <c r="G7" s="152">
        <v>6</v>
      </c>
    </row>
    <row r="8" spans="2:7">
      <c r="B8" s="153">
        <v>3211</v>
      </c>
      <c r="C8" s="154" t="s">
        <v>24</v>
      </c>
      <c r="D8" s="155">
        <v>1838.22</v>
      </c>
      <c r="E8" s="156">
        <v>1535.6</v>
      </c>
      <c r="F8" s="156">
        <v>1535.6</v>
      </c>
      <c r="G8" s="157">
        <f>F8/E8*100</f>
        <v>100</v>
      </c>
    </row>
    <row r="9" spans="2:7">
      <c r="B9" s="158">
        <v>3213</v>
      </c>
      <c r="C9" s="45" t="s">
        <v>59</v>
      </c>
      <c r="D9" s="34">
        <v>400</v>
      </c>
      <c r="E9" s="34">
        <v>414.8</v>
      </c>
      <c r="F9" s="34">
        <v>414.8</v>
      </c>
      <c r="G9" s="157">
        <f t="shared" ref="G9:G28" si="0">F9/E9*100</f>
        <v>100</v>
      </c>
    </row>
    <row r="10" spans="2:7">
      <c r="B10" s="158">
        <v>3221</v>
      </c>
      <c r="C10" s="45" t="s">
        <v>106</v>
      </c>
      <c r="D10" s="34">
        <v>4997.13</v>
      </c>
      <c r="E10" s="34">
        <v>2567.65</v>
      </c>
      <c r="F10" s="34">
        <v>2567.65</v>
      </c>
      <c r="G10" s="157">
        <f t="shared" si="0"/>
        <v>100</v>
      </c>
    </row>
    <row r="11" spans="2:7">
      <c r="B11" s="158">
        <v>3222</v>
      </c>
      <c r="C11" s="45" t="s">
        <v>62</v>
      </c>
      <c r="D11" s="34"/>
      <c r="E11" s="34"/>
      <c r="F11" s="34"/>
      <c r="G11" s="157"/>
    </row>
    <row r="12" spans="2:7">
      <c r="B12" s="158">
        <v>3223</v>
      </c>
      <c r="C12" s="45" t="s">
        <v>107</v>
      </c>
      <c r="D12" s="34">
        <v>6636.14</v>
      </c>
      <c r="E12" s="34">
        <v>4661.7700000000004</v>
      </c>
      <c r="F12" s="34">
        <v>4661.7700000000004</v>
      </c>
      <c r="G12" s="157">
        <f t="shared" si="0"/>
        <v>100</v>
      </c>
    </row>
    <row r="13" spans="2:7">
      <c r="B13" s="158">
        <v>3223</v>
      </c>
      <c r="C13" s="45" t="s">
        <v>108</v>
      </c>
      <c r="D13" s="34">
        <v>9290.6</v>
      </c>
      <c r="E13" s="34">
        <v>8728.59</v>
      </c>
      <c r="F13" s="34">
        <v>13048.59</v>
      </c>
      <c r="G13" s="157">
        <f t="shared" si="0"/>
        <v>149.4925297212952</v>
      </c>
    </row>
    <row r="14" spans="2:7">
      <c r="B14" s="158">
        <v>3224</v>
      </c>
      <c r="C14" s="45" t="s">
        <v>109</v>
      </c>
      <c r="D14" s="34">
        <v>2740.84</v>
      </c>
      <c r="E14" s="34">
        <v>888.79</v>
      </c>
      <c r="F14" s="34">
        <v>888.79</v>
      </c>
      <c r="G14" s="157">
        <f t="shared" si="0"/>
        <v>100</v>
      </c>
    </row>
    <row r="15" spans="2:7">
      <c r="B15" s="158">
        <v>3225</v>
      </c>
      <c r="C15" s="45" t="s">
        <v>65</v>
      </c>
      <c r="D15" s="34">
        <v>398.17</v>
      </c>
      <c r="E15" s="34">
        <v>334.74</v>
      </c>
      <c r="F15" s="34">
        <v>334.74</v>
      </c>
      <c r="G15" s="157">
        <f t="shared" si="0"/>
        <v>100</v>
      </c>
    </row>
    <row r="16" spans="2:7">
      <c r="B16" s="158">
        <v>3227</v>
      </c>
      <c r="C16" s="45" t="s">
        <v>110</v>
      </c>
      <c r="D16" s="34">
        <v>663.61</v>
      </c>
      <c r="E16" s="34"/>
      <c r="F16" s="34"/>
      <c r="G16" s="157"/>
    </row>
    <row r="17" spans="2:9">
      <c r="B17" s="158">
        <v>3231</v>
      </c>
      <c r="C17" s="45" t="s">
        <v>67</v>
      </c>
      <c r="D17" s="34">
        <v>862.7</v>
      </c>
      <c r="E17" s="34">
        <v>632.05999999999995</v>
      </c>
      <c r="F17" s="34">
        <v>734.94</v>
      </c>
      <c r="G17" s="157">
        <f t="shared" si="0"/>
        <v>116.27693573394933</v>
      </c>
    </row>
    <row r="18" spans="2:9">
      <c r="B18" s="158">
        <v>3232</v>
      </c>
      <c r="C18" s="45" t="s">
        <v>111</v>
      </c>
      <c r="D18" s="34">
        <v>1327.23</v>
      </c>
      <c r="E18" s="34">
        <v>292.5</v>
      </c>
      <c r="F18" s="34">
        <v>292.5</v>
      </c>
      <c r="G18" s="157">
        <f t="shared" si="0"/>
        <v>100</v>
      </c>
    </row>
    <row r="19" spans="2:9">
      <c r="B19" s="158">
        <v>3234</v>
      </c>
      <c r="C19" s="45" t="s">
        <v>69</v>
      </c>
      <c r="D19" s="34">
        <v>4379.8500000000004</v>
      </c>
      <c r="E19" s="34">
        <v>4264.29</v>
      </c>
      <c r="F19" s="34">
        <v>4063.05</v>
      </c>
      <c r="G19" s="157">
        <f t="shared" si="0"/>
        <v>95.280808763006277</v>
      </c>
    </row>
    <row r="20" spans="2:9">
      <c r="B20" s="158">
        <v>3235</v>
      </c>
      <c r="C20" s="45" t="s">
        <v>112</v>
      </c>
      <c r="D20" s="34">
        <v>64730.37</v>
      </c>
      <c r="E20" s="34">
        <v>60634</v>
      </c>
      <c r="F20" s="34">
        <f>73244.65-84-15804.09</f>
        <v>57356.56</v>
      </c>
      <c r="G20" s="157">
        <f t="shared" si="0"/>
        <v>94.594715835999594</v>
      </c>
    </row>
    <row r="21" spans="2:9">
      <c r="B21" s="158">
        <v>3235</v>
      </c>
      <c r="C21" s="45" t="s">
        <v>113</v>
      </c>
      <c r="D21" s="34">
        <v>663.61</v>
      </c>
      <c r="E21" s="34">
        <v>577.14</v>
      </c>
      <c r="F21" s="34">
        <v>661.14</v>
      </c>
      <c r="G21" s="157">
        <f t="shared" si="0"/>
        <v>114.55452749766089</v>
      </c>
    </row>
    <row r="22" spans="2:9">
      <c r="B22" s="158">
        <v>3236</v>
      </c>
      <c r="C22" s="45" t="s">
        <v>71</v>
      </c>
      <c r="D22" s="34">
        <v>1459.95</v>
      </c>
      <c r="E22" s="34">
        <v>1514.24</v>
      </c>
      <c r="F22" s="34">
        <v>1514.24</v>
      </c>
      <c r="G22" s="157">
        <f t="shared" si="0"/>
        <v>100</v>
      </c>
    </row>
    <row r="23" spans="2:9">
      <c r="B23" s="158">
        <v>3237</v>
      </c>
      <c r="C23" s="45" t="s">
        <v>114</v>
      </c>
      <c r="D23" s="34">
        <v>663.61</v>
      </c>
      <c r="E23" s="34">
        <v>797.35</v>
      </c>
      <c r="F23" s="34">
        <v>797.35</v>
      </c>
      <c r="G23" s="157">
        <f t="shared" si="0"/>
        <v>100</v>
      </c>
    </row>
    <row r="24" spans="2:9">
      <c r="B24" s="158">
        <v>3238</v>
      </c>
      <c r="C24" s="45" t="s">
        <v>73</v>
      </c>
      <c r="D24" s="34">
        <v>1990.84</v>
      </c>
      <c r="E24" s="34">
        <v>2111.71</v>
      </c>
      <c r="F24" s="34">
        <v>2008.52</v>
      </c>
      <c r="G24" s="157">
        <f t="shared" si="0"/>
        <v>95.113438871814779</v>
      </c>
    </row>
    <row r="25" spans="2:9">
      <c r="B25" s="158">
        <v>3239</v>
      </c>
      <c r="C25" s="45" t="s">
        <v>74</v>
      </c>
      <c r="D25" s="34">
        <v>132.72</v>
      </c>
      <c r="E25" s="34">
        <v>16.600000000000001</v>
      </c>
      <c r="F25" s="34">
        <v>16.600000000000001</v>
      </c>
      <c r="G25" s="119">
        <f t="shared" si="0"/>
        <v>100</v>
      </c>
    </row>
    <row r="26" spans="2:9">
      <c r="B26" s="158">
        <v>3292</v>
      </c>
      <c r="C26" s="45" t="s">
        <v>76</v>
      </c>
      <c r="D26" s="34">
        <v>273.70999999999998</v>
      </c>
      <c r="E26" s="34">
        <v>62.96</v>
      </c>
      <c r="F26" s="34">
        <v>62.96</v>
      </c>
      <c r="G26" s="119">
        <f t="shared" si="0"/>
        <v>100</v>
      </c>
    </row>
    <row r="27" spans="2:9">
      <c r="B27" s="158">
        <v>3299</v>
      </c>
      <c r="C27" s="45" t="s">
        <v>75</v>
      </c>
      <c r="D27" s="34">
        <v>59.73</v>
      </c>
      <c r="E27" s="34">
        <v>126.51</v>
      </c>
      <c r="F27" s="34">
        <f>2720.67-1563-1031.16</f>
        <v>126.50999999999999</v>
      </c>
      <c r="G27" s="119">
        <f t="shared" si="0"/>
        <v>99.999999999999986</v>
      </c>
    </row>
    <row r="28" spans="2:9">
      <c r="B28" s="159" t="s">
        <v>115</v>
      </c>
      <c r="C28" s="45"/>
      <c r="D28" s="38">
        <f>SUM(D8:D27)</f>
        <v>103509.03000000001</v>
      </c>
      <c r="E28" s="38">
        <f>SUM(E8:E27)</f>
        <v>90161.300000000032</v>
      </c>
      <c r="F28" s="38">
        <f>SUM(F8:F27)</f>
        <v>91086.310000000012</v>
      </c>
      <c r="G28" s="118">
        <f t="shared" si="0"/>
        <v>101.02595015821643</v>
      </c>
      <c r="I28" s="27"/>
    </row>
    <row r="29" spans="2:9">
      <c r="B29" s="135"/>
      <c r="C29" s="29"/>
      <c r="D29" s="29"/>
      <c r="E29" s="30"/>
      <c r="F29" s="30"/>
      <c r="G29" s="30"/>
    </row>
    <row r="30" spans="2:9">
      <c r="B30" s="135"/>
      <c r="C30" s="29"/>
      <c r="D30" s="29"/>
      <c r="E30" s="30"/>
      <c r="F30" s="30"/>
      <c r="G30" s="30"/>
    </row>
    <row r="31" spans="2:9" ht="15.75" customHeight="1">
      <c r="B31" s="283" t="s">
        <v>123</v>
      </c>
      <c r="C31" s="283"/>
      <c r="D31" s="143"/>
      <c r="E31" s="30"/>
      <c r="F31" s="30"/>
      <c r="G31" s="30"/>
    </row>
    <row r="32" spans="2:9" ht="42.75">
      <c r="B32" s="146" t="s">
        <v>104</v>
      </c>
      <c r="C32" s="147" t="s">
        <v>105</v>
      </c>
      <c r="D32" s="148" t="s">
        <v>190</v>
      </c>
      <c r="E32" s="149" t="s">
        <v>191</v>
      </c>
      <c r="F32" s="149" t="s">
        <v>141</v>
      </c>
      <c r="G32" s="150" t="s">
        <v>201</v>
      </c>
    </row>
    <row r="33" spans="2:11">
      <c r="B33" s="148">
        <v>1</v>
      </c>
      <c r="C33" s="151">
        <v>2</v>
      </c>
      <c r="D33" s="151">
        <v>3</v>
      </c>
      <c r="E33" s="149">
        <v>4</v>
      </c>
      <c r="F33" s="149">
        <v>5</v>
      </c>
      <c r="G33" s="152">
        <v>6</v>
      </c>
    </row>
    <row r="34" spans="2:11">
      <c r="B34" s="153">
        <v>3235</v>
      </c>
      <c r="C34" s="154" t="s">
        <v>165</v>
      </c>
      <c r="D34" s="160"/>
      <c r="E34" s="156">
        <v>15804.09</v>
      </c>
      <c r="F34" s="156">
        <v>15804.09</v>
      </c>
      <c r="G34" s="157">
        <f>F34/E34*100</f>
        <v>100</v>
      </c>
    </row>
    <row r="35" spans="2:11">
      <c r="B35" s="159" t="s">
        <v>115</v>
      </c>
      <c r="C35" s="45"/>
      <c r="D35" s="45"/>
      <c r="E35" s="38">
        <f>E34</f>
        <v>15804.09</v>
      </c>
      <c r="F35" s="38">
        <f>F34</f>
        <v>15804.09</v>
      </c>
      <c r="G35" s="118">
        <f>F35/E35*100</f>
        <v>100</v>
      </c>
    </row>
    <row r="36" spans="2:11">
      <c r="B36" s="161"/>
      <c r="C36" s="29"/>
      <c r="D36" s="29"/>
      <c r="E36" s="36"/>
      <c r="F36" s="36"/>
      <c r="G36" s="162"/>
    </row>
    <row r="37" spans="2:11">
      <c r="B37" s="161"/>
      <c r="C37" s="29"/>
      <c r="D37" s="29"/>
      <c r="E37" s="36"/>
      <c r="F37" s="36"/>
      <c r="G37" s="162"/>
    </row>
    <row r="38" spans="2:11">
      <c r="B38" s="161" t="s">
        <v>143</v>
      </c>
      <c r="C38" s="29"/>
      <c r="D38" s="29"/>
      <c r="E38" s="30"/>
      <c r="F38" s="30"/>
      <c r="G38" s="30"/>
    </row>
    <row r="39" spans="2:11" ht="42.75">
      <c r="B39" s="146" t="s">
        <v>104</v>
      </c>
      <c r="C39" s="147" t="s">
        <v>105</v>
      </c>
      <c r="D39" s="148" t="s">
        <v>190</v>
      </c>
      <c r="E39" s="149" t="s">
        <v>191</v>
      </c>
      <c r="F39" s="149" t="s">
        <v>141</v>
      </c>
      <c r="G39" s="150" t="s">
        <v>201</v>
      </c>
      <c r="K39" s="27"/>
    </row>
    <row r="40" spans="2:11">
      <c r="B40" s="148">
        <v>1</v>
      </c>
      <c r="C40" s="151">
        <v>2</v>
      </c>
      <c r="D40" s="151">
        <v>3</v>
      </c>
      <c r="E40" s="149">
        <v>4</v>
      </c>
      <c r="F40" s="149">
        <v>5</v>
      </c>
      <c r="G40" s="152">
        <v>6</v>
      </c>
      <c r="K40" s="27"/>
    </row>
    <row r="41" spans="2:11">
      <c r="B41" s="163">
        <v>3213</v>
      </c>
      <c r="C41" s="154" t="s">
        <v>59</v>
      </c>
      <c r="D41" s="160"/>
      <c r="E41" s="164">
        <v>41.48</v>
      </c>
      <c r="F41" s="164">
        <v>41.48</v>
      </c>
      <c r="G41" s="165">
        <f>F41/E41*100</f>
        <v>100</v>
      </c>
    </row>
    <row r="42" spans="2:11">
      <c r="B42" s="163">
        <v>3221</v>
      </c>
      <c r="C42" s="154" t="s">
        <v>144</v>
      </c>
      <c r="D42" s="160"/>
      <c r="E42" s="164">
        <v>582.23</v>
      </c>
      <c r="F42" s="164">
        <v>582.23</v>
      </c>
      <c r="G42" s="165">
        <f t="shared" ref="G42:G53" si="1">F42/E42*100</f>
        <v>100</v>
      </c>
    </row>
    <row r="43" spans="2:11">
      <c r="B43" s="163">
        <v>3223</v>
      </c>
      <c r="C43" s="154" t="s">
        <v>63</v>
      </c>
      <c r="D43" s="160"/>
      <c r="E43" s="164">
        <v>1029.1400000000001</v>
      </c>
      <c r="F43" s="164">
        <v>1029.1400000000001</v>
      </c>
      <c r="G43" s="165">
        <f t="shared" si="1"/>
        <v>100</v>
      </c>
      <c r="K43" s="27"/>
    </row>
    <row r="44" spans="2:11">
      <c r="B44" s="163">
        <v>3223</v>
      </c>
      <c r="C44" s="154" t="s">
        <v>192</v>
      </c>
      <c r="D44" s="160"/>
      <c r="E44" s="164">
        <v>4320</v>
      </c>
      <c r="F44" s="164"/>
      <c r="G44" s="165"/>
    </row>
    <row r="45" spans="2:11">
      <c r="B45" s="163">
        <v>3231</v>
      </c>
      <c r="C45" s="154" t="s">
        <v>67</v>
      </c>
      <c r="D45" s="160"/>
      <c r="E45" s="164">
        <v>38.42</v>
      </c>
      <c r="F45" s="164">
        <v>38.42</v>
      </c>
      <c r="G45" s="165">
        <f t="shared" si="1"/>
        <v>100</v>
      </c>
    </row>
    <row r="46" spans="2:11">
      <c r="B46" s="158">
        <v>3232</v>
      </c>
      <c r="C46" s="166" t="s">
        <v>68</v>
      </c>
      <c r="D46" s="160"/>
      <c r="E46" s="76">
        <v>201.15</v>
      </c>
      <c r="F46" s="76">
        <v>201.15</v>
      </c>
      <c r="G46" s="119">
        <f t="shared" si="1"/>
        <v>100</v>
      </c>
    </row>
    <row r="47" spans="2:11">
      <c r="B47" s="158">
        <v>3234</v>
      </c>
      <c r="C47" s="166" t="s">
        <v>145</v>
      </c>
      <c r="D47" s="160"/>
      <c r="E47" s="76">
        <v>1530.61</v>
      </c>
      <c r="F47" s="76">
        <v>1528.61</v>
      </c>
      <c r="G47" s="119">
        <f t="shared" si="1"/>
        <v>99.869333141688614</v>
      </c>
    </row>
    <row r="48" spans="2:11">
      <c r="B48" s="158">
        <v>3235</v>
      </c>
      <c r="C48" s="166" t="s">
        <v>70</v>
      </c>
      <c r="D48" s="160"/>
      <c r="E48" s="76">
        <v>10547.72</v>
      </c>
      <c r="F48" s="76">
        <v>10547.72</v>
      </c>
      <c r="G48" s="119">
        <f t="shared" si="1"/>
        <v>100</v>
      </c>
    </row>
    <row r="49" spans="2:9">
      <c r="B49" s="158">
        <v>3237</v>
      </c>
      <c r="C49" s="166" t="s">
        <v>114</v>
      </c>
      <c r="D49" s="160"/>
      <c r="E49" s="76">
        <f>230.68+103.41</f>
        <v>334.09000000000003</v>
      </c>
      <c r="F49" s="76">
        <v>230.68</v>
      </c>
      <c r="G49" s="119">
        <f t="shared" si="1"/>
        <v>69.047262713640038</v>
      </c>
    </row>
    <row r="50" spans="2:9">
      <c r="B50" s="158">
        <v>3238</v>
      </c>
      <c r="C50" s="166" t="s">
        <v>73</v>
      </c>
      <c r="D50" s="160"/>
      <c r="E50" s="76">
        <v>1285.3900000000001</v>
      </c>
      <c r="F50" s="76">
        <v>1285.3900000000001</v>
      </c>
      <c r="G50" s="119">
        <f t="shared" si="1"/>
        <v>100</v>
      </c>
    </row>
    <row r="51" spans="2:9">
      <c r="B51" s="158">
        <v>3239</v>
      </c>
      <c r="C51" s="166" t="s">
        <v>74</v>
      </c>
      <c r="D51" s="160"/>
      <c r="E51" s="76">
        <v>1.66</v>
      </c>
      <c r="F51" s="76">
        <v>1.66</v>
      </c>
      <c r="G51" s="119">
        <f t="shared" si="1"/>
        <v>100</v>
      </c>
    </row>
    <row r="52" spans="2:9">
      <c r="B52" s="158">
        <v>3299</v>
      </c>
      <c r="C52" s="166" t="s">
        <v>75</v>
      </c>
      <c r="D52" s="160"/>
      <c r="E52" s="76">
        <v>32.35</v>
      </c>
      <c r="F52" s="76">
        <v>32.35</v>
      </c>
      <c r="G52" s="119">
        <f t="shared" si="1"/>
        <v>100</v>
      </c>
    </row>
    <row r="53" spans="2:9">
      <c r="B53" s="159" t="s">
        <v>115</v>
      </c>
      <c r="C53" s="167"/>
      <c r="D53" s="160"/>
      <c r="E53" s="38">
        <f>SUM(E41:E52)</f>
        <v>19944.239999999998</v>
      </c>
      <c r="F53" s="38">
        <f>SUM(F41:F52)</f>
        <v>15518.83</v>
      </c>
      <c r="G53" s="118">
        <f t="shared" si="1"/>
        <v>77.811087311424259</v>
      </c>
      <c r="I53" s="27"/>
    </row>
    <row r="54" spans="2:9">
      <c r="B54" s="161"/>
      <c r="C54" s="29"/>
      <c r="D54" s="29"/>
      <c r="E54" s="36"/>
      <c r="F54" s="36"/>
      <c r="G54" s="162"/>
    </row>
    <row r="55" spans="2:9">
      <c r="B55" s="161"/>
      <c r="C55" s="29"/>
      <c r="D55" s="29"/>
      <c r="E55" s="36"/>
      <c r="F55" s="36"/>
      <c r="G55" s="162"/>
    </row>
    <row r="56" spans="2:9">
      <c r="B56" s="168" t="s">
        <v>116</v>
      </c>
      <c r="C56" s="169" t="s">
        <v>117</v>
      </c>
      <c r="D56" s="169"/>
      <c r="E56" s="37"/>
      <c r="F56" s="37"/>
      <c r="G56" s="37"/>
    </row>
    <row r="57" spans="2:9" ht="19.5" customHeight="1">
      <c r="B57" s="285" t="s">
        <v>204</v>
      </c>
      <c r="C57" s="286"/>
      <c r="D57" s="286"/>
      <c r="E57" s="286"/>
      <c r="F57" s="286"/>
      <c r="G57" s="286"/>
    </row>
    <row r="58" spans="2:9">
      <c r="B58" s="161" t="s">
        <v>118</v>
      </c>
      <c r="C58" s="29"/>
      <c r="D58" s="29"/>
      <c r="E58" s="30"/>
      <c r="F58" s="30"/>
      <c r="G58" s="30"/>
    </row>
    <row r="59" spans="2:9" ht="42.75">
      <c r="B59" s="146" t="s">
        <v>104</v>
      </c>
      <c r="C59" s="147" t="s">
        <v>105</v>
      </c>
      <c r="D59" s="148" t="s">
        <v>190</v>
      </c>
      <c r="E59" s="149" t="s">
        <v>191</v>
      </c>
      <c r="F59" s="149" t="s">
        <v>141</v>
      </c>
      <c r="G59" s="150" t="s">
        <v>201</v>
      </c>
    </row>
    <row r="60" spans="2:9">
      <c r="B60" s="170">
        <v>1</v>
      </c>
      <c r="C60" s="171">
        <v>2</v>
      </c>
      <c r="D60" s="171">
        <v>3</v>
      </c>
      <c r="E60" s="172">
        <v>4</v>
      </c>
      <c r="F60" s="172">
        <v>5</v>
      </c>
      <c r="G60" s="152">
        <v>6</v>
      </c>
    </row>
    <row r="61" spans="2:9">
      <c r="B61" s="158">
        <v>4241</v>
      </c>
      <c r="C61" s="166" t="s">
        <v>142</v>
      </c>
      <c r="D61" s="160">
        <v>0</v>
      </c>
      <c r="E61" s="34">
        <v>2873.85</v>
      </c>
      <c r="F61" s="34">
        <v>2800</v>
      </c>
      <c r="G61" s="119">
        <f>F61/E61*100</f>
        <v>97.430276458409452</v>
      </c>
    </row>
    <row r="62" spans="2:9">
      <c r="B62" s="158">
        <v>4511</v>
      </c>
      <c r="C62" s="166" t="s">
        <v>92</v>
      </c>
      <c r="D62" s="166"/>
      <c r="E62" s="74">
        <v>74437</v>
      </c>
      <c r="F62" s="74"/>
      <c r="G62" s="201"/>
    </row>
    <row r="63" spans="2:9" s="31" customFormat="1" ht="14.25">
      <c r="B63" s="159" t="s">
        <v>115</v>
      </c>
      <c r="C63" s="167"/>
      <c r="D63" s="167"/>
      <c r="E63" s="38">
        <f>E62+E61</f>
        <v>77310.850000000006</v>
      </c>
      <c r="F63" s="38">
        <f>SUM(F61:F62)</f>
        <v>2800</v>
      </c>
      <c r="G63" s="118">
        <f t="shared" ref="G63" si="2">F63/E63*100</f>
        <v>3.6217426143937104</v>
      </c>
    </row>
    <row r="64" spans="2:9" s="31" customFormat="1" ht="14.25">
      <c r="B64" s="161"/>
      <c r="C64" s="173"/>
      <c r="D64" s="173"/>
      <c r="E64" s="36"/>
      <c r="F64" s="36"/>
      <c r="G64" s="162"/>
    </row>
    <row r="65" spans="2:8" s="31" customFormat="1" ht="14.25">
      <c r="B65" s="161"/>
      <c r="C65" s="173"/>
      <c r="D65" s="173"/>
      <c r="E65" s="36"/>
      <c r="F65" s="36"/>
      <c r="G65" s="162"/>
    </row>
    <row r="66" spans="2:8">
      <c r="B66" s="168" t="s">
        <v>119</v>
      </c>
      <c r="C66" s="169" t="s">
        <v>120</v>
      </c>
      <c r="D66" s="169"/>
      <c r="E66" s="174"/>
      <c r="F66" s="174"/>
      <c r="G66" s="175"/>
    </row>
    <row r="67" spans="2:8" ht="19.5" customHeight="1">
      <c r="B67" s="285" t="s">
        <v>204</v>
      </c>
      <c r="C67" s="286"/>
      <c r="D67" s="286"/>
      <c r="E67" s="286"/>
      <c r="F67" s="286"/>
      <c r="G67" s="286"/>
    </row>
    <row r="68" spans="2:8">
      <c r="B68" s="161" t="s">
        <v>205</v>
      </c>
      <c r="C68" s="29"/>
      <c r="D68" s="29"/>
      <c r="E68" s="36"/>
      <c r="F68" s="36"/>
      <c r="G68" s="162"/>
    </row>
    <row r="69" spans="2:8" ht="42.75">
      <c r="B69" s="176" t="s">
        <v>104</v>
      </c>
      <c r="C69" s="177" t="s">
        <v>105</v>
      </c>
      <c r="D69" s="148" t="s">
        <v>190</v>
      </c>
      <c r="E69" s="149" t="s">
        <v>191</v>
      </c>
      <c r="F69" s="178" t="s">
        <v>141</v>
      </c>
      <c r="G69" s="179" t="s">
        <v>201</v>
      </c>
    </row>
    <row r="70" spans="2:8">
      <c r="B70" s="170">
        <v>1</v>
      </c>
      <c r="C70" s="171">
        <v>2</v>
      </c>
      <c r="D70" s="171">
        <v>3</v>
      </c>
      <c r="E70" s="172">
        <v>4</v>
      </c>
      <c r="F70" s="172">
        <v>5</v>
      </c>
      <c r="G70" s="152">
        <v>6</v>
      </c>
    </row>
    <row r="71" spans="2:8" s="31" customFormat="1">
      <c r="B71" s="163">
        <v>3224</v>
      </c>
      <c r="C71" s="45" t="s">
        <v>146</v>
      </c>
      <c r="D71" s="45"/>
      <c r="E71" s="164">
        <v>1622.98</v>
      </c>
      <c r="F71" s="164">
        <v>1622.93</v>
      </c>
      <c r="G71" s="165">
        <f>F71/E71*100</f>
        <v>99.996919247310501</v>
      </c>
    </row>
    <row r="72" spans="2:8">
      <c r="B72" s="163">
        <v>3232</v>
      </c>
      <c r="C72" s="154" t="s">
        <v>68</v>
      </c>
      <c r="D72" s="154"/>
      <c r="E72" s="164">
        <v>5044.78</v>
      </c>
      <c r="F72" s="164">
        <v>4469</v>
      </c>
      <c r="G72" s="165">
        <f t="shared" ref="G72:G75" si="3">F72/E72*100</f>
        <v>88.586618246980052</v>
      </c>
    </row>
    <row r="73" spans="2:8">
      <c r="B73" s="158">
        <v>3237</v>
      </c>
      <c r="C73" s="166" t="s">
        <v>147</v>
      </c>
      <c r="D73" s="166"/>
      <c r="E73" s="34">
        <v>875</v>
      </c>
      <c r="F73" s="34">
        <v>875</v>
      </c>
      <c r="G73" s="165">
        <f t="shared" si="3"/>
        <v>100</v>
      </c>
    </row>
    <row r="74" spans="2:8">
      <c r="B74" s="158">
        <v>4221</v>
      </c>
      <c r="C74" s="166" t="s">
        <v>85</v>
      </c>
      <c r="D74" s="166"/>
      <c r="E74" s="34">
        <v>5244.13</v>
      </c>
      <c r="F74" s="34">
        <v>5244.13</v>
      </c>
      <c r="G74" s="165">
        <f t="shared" si="3"/>
        <v>100</v>
      </c>
    </row>
    <row r="75" spans="2:8">
      <c r="B75" s="159" t="s">
        <v>115</v>
      </c>
      <c r="C75" s="167"/>
      <c r="D75" s="167"/>
      <c r="E75" s="38">
        <f>SUM(E71:E74)</f>
        <v>12786.89</v>
      </c>
      <c r="F75" s="38">
        <f>SUM(F71:F74)</f>
        <v>12211.060000000001</v>
      </c>
      <c r="G75" s="118">
        <f t="shared" si="3"/>
        <v>95.496715776862089</v>
      </c>
      <c r="H75" t="s">
        <v>193</v>
      </c>
    </row>
    <row r="76" spans="2:8">
      <c r="B76" s="161"/>
      <c r="C76" s="173"/>
      <c r="D76" s="173"/>
      <c r="E76" s="36"/>
      <c r="F76" s="36"/>
      <c r="G76" s="162"/>
    </row>
    <row r="77" spans="2:8">
      <c r="B77" s="161"/>
      <c r="C77" s="29"/>
      <c r="D77" s="29"/>
      <c r="E77" s="36"/>
      <c r="F77" s="36"/>
      <c r="G77" s="162"/>
    </row>
    <row r="78" spans="2:8">
      <c r="B78" s="168" t="s">
        <v>121</v>
      </c>
      <c r="C78" s="169" t="s">
        <v>122</v>
      </c>
      <c r="D78" s="169"/>
      <c r="E78" s="37"/>
      <c r="F78" s="37"/>
      <c r="G78" s="37"/>
    </row>
    <row r="79" spans="2:8" ht="19.5" customHeight="1">
      <c r="B79" s="285" t="s">
        <v>204</v>
      </c>
      <c r="C79" s="286"/>
      <c r="D79" s="286"/>
      <c r="E79" s="286"/>
      <c r="F79" s="286"/>
      <c r="G79" s="286"/>
    </row>
    <row r="80" spans="2:8" s="31" customFormat="1">
      <c r="B80" s="161" t="s">
        <v>123</v>
      </c>
      <c r="C80" s="29"/>
      <c r="D80" s="29"/>
      <c r="E80" s="30"/>
      <c r="F80" s="30"/>
      <c r="G80" s="30"/>
    </row>
    <row r="81" spans="2:7" ht="42.75">
      <c r="B81" s="146" t="s">
        <v>104</v>
      </c>
      <c r="C81" s="147" t="s">
        <v>105</v>
      </c>
      <c r="D81" s="148" t="s">
        <v>190</v>
      </c>
      <c r="E81" s="149" t="s">
        <v>191</v>
      </c>
      <c r="F81" s="149" t="s">
        <v>141</v>
      </c>
      <c r="G81" s="150" t="s">
        <v>201</v>
      </c>
    </row>
    <row r="82" spans="2:7">
      <c r="B82" s="170">
        <v>1</v>
      </c>
      <c r="C82" s="171">
        <v>2</v>
      </c>
      <c r="D82" s="171">
        <v>3</v>
      </c>
      <c r="E82" s="172">
        <v>4</v>
      </c>
      <c r="F82" s="172">
        <v>5</v>
      </c>
      <c r="G82" s="152">
        <v>6</v>
      </c>
    </row>
    <row r="83" spans="2:7">
      <c r="B83" s="158">
        <v>32999</v>
      </c>
      <c r="C83" s="166" t="s">
        <v>124</v>
      </c>
      <c r="D83" s="166"/>
      <c r="E83" s="34">
        <v>1563</v>
      </c>
      <c r="F83" s="34">
        <v>1563</v>
      </c>
      <c r="G83" s="119">
        <f>F83/E83*100</f>
        <v>100</v>
      </c>
    </row>
    <row r="84" spans="2:7">
      <c r="B84" s="159" t="s">
        <v>115</v>
      </c>
      <c r="C84" s="167"/>
      <c r="D84" s="167"/>
      <c r="E84" s="34">
        <v>1563</v>
      </c>
      <c r="F84" s="38">
        <v>1563</v>
      </c>
      <c r="G84" s="118">
        <f>F84/E84*100</f>
        <v>100</v>
      </c>
    </row>
    <row r="85" spans="2:7">
      <c r="B85" s="161"/>
      <c r="C85" s="173"/>
      <c r="D85" s="173"/>
      <c r="E85" s="36"/>
      <c r="F85" s="36"/>
      <c r="G85" s="162"/>
    </row>
    <row r="86" spans="2:7">
      <c r="B86" s="161"/>
      <c r="C86" s="173"/>
      <c r="D86" s="173"/>
      <c r="E86" s="36"/>
      <c r="F86" s="36"/>
      <c r="G86" s="162"/>
    </row>
    <row r="87" spans="2:7">
      <c r="B87" s="168" t="s">
        <v>125</v>
      </c>
      <c r="C87" s="169" t="s">
        <v>126</v>
      </c>
      <c r="D87" s="169"/>
      <c r="E87" s="37"/>
      <c r="F87" s="37"/>
      <c r="G87" s="37"/>
    </row>
    <row r="88" spans="2:7">
      <c r="B88" s="285" t="s">
        <v>204</v>
      </c>
      <c r="C88" s="286"/>
      <c r="D88" s="286"/>
      <c r="E88" s="286"/>
      <c r="F88" s="286"/>
      <c r="G88" s="286"/>
    </row>
    <row r="89" spans="2:7">
      <c r="B89" s="161" t="s">
        <v>123</v>
      </c>
      <c r="C89" s="29"/>
      <c r="D89" s="29"/>
      <c r="E89" s="30"/>
      <c r="F89" s="30"/>
      <c r="G89" s="30"/>
    </row>
    <row r="90" spans="2:7" ht="42.75">
      <c r="B90" s="146" t="s">
        <v>104</v>
      </c>
      <c r="C90" s="147" t="s">
        <v>105</v>
      </c>
      <c r="D90" s="148" t="s">
        <v>190</v>
      </c>
      <c r="E90" s="149" t="s">
        <v>191</v>
      </c>
      <c r="F90" s="149" t="s">
        <v>141</v>
      </c>
      <c r="G90" s="150" t="s">
        <v>201</v>
      </c>
    </row>
    <row r="91" spans="2:7">
      <c r="B91" s="170">
        <v>1</v>
      </c>
      <c r="C91" s="171">
        <v>2</v>
      </c>
      <c r="D91" s="171">
        <v>3</v>
      </c>
      <c r="E91" s="172">
        <v>4</v>
      </c>
      <c r="F91" s="172">
        <v>5</v>
      </c>
      <c r="G91" s="152">
        <v>6</v>
      </c>
    </row>
    <row r="92" spans="2:7">
      <c r="B92" s="158">
        <v>42641</v>
      </c>
      <c r="C92" s="166" t="s">
        <v>127</v>
      </c>
      <c r="D92" s="166"/>
      <c r="E92" s="34">
        <v>5375</v>
      </c>
      <c r="F92" s="34">
        <v>5375</v>
      </c>
      <c r="G92" s="119">
        <f>F92/E92*100</f>
        <v>100</v>
      </c>
    </row>
    <row r="93" spans="2:7">
      <c r="B93" s="158">
        <v>42212</v>
      </c>
      <c r="C93" s="166" t="s">
        <v>85</v>
      </c>
      <c r="D93" s="166"/>
      <c r="E93" s="34">
        <v>843.87</v>
      </c>
      <c r="F93" s="34">
        <v>843.87</v>
      </c>
      <c r="G93" s="119">
        <f>F93/E93*100</f>
        <v>100</v>
      </c>
    </row>
    <row r="94" spans="2:7">
      <c r="B94" s="159" t="s">
        <v>115</v>
      </c>
      <c r="C94" s="167"/>
      <c r="D94" s="167"/>
      <c r="E94" s="38">
        <f>SUM(E92:E93)</f>
        <v>6218.87</v>
      </c>
      <c r="F94" s="38">
        <f>SUM(F92:F93)</f>
        <v>6218.87</v>
      </c>
      <c r="G94" s="119">
        <f>F94/E94*100</f>
        <v>100</v>
      </c>
    </row>
    <row r="95" spans="2:7">
      <c r="B95" s="161"/>
      <c r="C95" s="173"/>
      <c r="D95" s="173"/>
      <c r="E95" s="36"/>
      <c r="F95" s="36"/>
      <c r="G95" s="162"/>
    </row>
    <row r="96" spans="2:7">
      <c r="B96" s="161"/>
      <c r="C96" s="173"/>
      <c r="D96" s="173"/>
      <c r="E96" s="36"/>
      <c r="F96" s="36"/>
      <c r="G96" s="162"/>
    </row>
    <row r="97" spans="2:7">
      <c r="B97" s="168" t="s">
        <v>128</v>
      </c>
      <c r="C97" s="169" t="s">
        <v>129</v>
      </c>
      <c r="D97" s="169"/>
      <c r="E97" s="37"/>
      <c r="F97" s="37"/>
      <c r="G97" s="37"/>
    </row>
    <row r="98" spans="2:7">
      <c r="B98" s="285" t="s">
        <v>204</v>
      </c>
      <c r="C98" s="286"/>
      <c r="D98" s="286"/>
      <c r="E98" s="286"/>
      <c r="F98" s="286"/>
      <c r="G98" s="286"/>
    </row>
    <row r="99" spans="2:7">
      <c r="B99" s="161" t="s">
        <v>123</v>
      </c>
      <c r="C99" s="29"/>
      <c r="D99" s="29"/>
      <c r="E99" s="30"/>
      <c r="F99" s="30"/>
      <c r="G99" s="30"/>
    </row>
    <row r="100" spans="2:7" s="31" customFormat="1" ht="42.75">
      <c r="B100" s="146" t="s">
        <v>104</v>
      </c>
      <c r="C100" s="147" t="s">
        <v>105</v>
      </c>
      <c r="D100" s="148" t="s">
        <v>190</v>
      </c>
      <c r="E100" s="149" t="s">
        <v>191</v>
      </c>
      <c r="F100" s="149" t="s">
        <v>141</v>
      </c>
      <c r="G100" s="150" t="s">
        <v>201</v>
      </c>
    </row>
    <row r="101" spans="2:7">
      <c r="B101" s="170">
        <v>1</v>
      </c>
      <c r="C101" s="171">
        <v>2</v>
      </c>
      <c r="D101" s="171">
        <v>3</v>
      </c>
      <c r="E101" s="172">
        <v>4</v>
      </c>
      <c r="F101" s="172">
        <v>5</v>
      </c>
      <c r="G101" s="152">
        <v>6</v>
      </c>
    </row>
    <row r="102" spans="2:7">
      <c r="B102" s="158">
        <v>4511</v>
      </c>
      <c r="C102" s="166" t="s">
        <v>194</v>
      </c>
      <c r="D102" s="166"/>
      <c r="E102" s="34">
        <v>22338.43</v>
      </c>
      <c r="F102" s="34">
        <v>10280.98</v>
      </c>
      <c r="G102" s="119">
        <f>F102/E102*100</f>
        <v>46.023735777312908</v>
      </c>
    </row>
    <row r="103" spans="2:7">
      <c r="B103" s="159" t="s">
        <v>115</v>
      </c>
      <c r="C103" s="167"/>
      <c r="D103" s="167"/>
      <c r="E103" s="38">
        <v>22338.43</v>
      </c>
      <c r="F103" s="38">
        <v>10280.98</v>
      </c>
      <c r="G103" s="118">
        <f>F103/E103*100</f>
        <v>46.023735777312908</v>
      </c>
    </row>
    <row r="104" spans="2:7">
      <c r="B104" s="161"/>
      <c r="C104" s="173"/>
      <c r="D104" s="173"/>
      <c r="E104" s="36"/>
      <c r="F104" s="36"/>
      <c r="G104" s="162"/>
    </row>
    <row r="105" spans="2:7">
      <c r="B105" s="161"/>
      <c r="C105" s="173"/>
      <c r="D105" s="173"/>
      <c r="E105" s="36"/>
      <c r="F105" s="36"/>
      <c r="G105" s="162"/>
    </row>
    <row r="106" spans="2:7">
      <c r="B106" s="168" t="s">
        <v>229</v>
      </c>
      <c r="C106" s="169" t="s">
        <v>132</v>
      </c>
      <c r="D106" s="169"/>
      <c r="E106" s="37"/>
      <c r="F106" s="37"/>
      <c r="G106" s="37"/>
    </row>
    <row r="107" spans="2:7">
      <c r="B107" s="285" t="s">
        <v>206</v>
      </c>
      <c r="C107" s="286"/>
      <c r="D107" s="286"/>
      <c r="E107" s="286"/>
      <c r="F107" s="286"/>
      <c r="G107" s="286"/>
    </row>
    <row r="108" spans="2:7">
      <c r="B108" s="161" t="s">
        <v>148</v>
      </c>
      <c r="C108" s="29"/>
      <c r="D108" s="29"/>
      <c r="E108" s="30"/>
      <c r="F108" s="30"/>
      <c r="G108" s="30"/>
    </row>
    <row r="109" spans="2:7" ht="42.75">
      <c r="B109" s="146" t="s">
        <v>104</v>
      </c>
      <c r="C109" s="147" t="s">
        <v>105</v>
      </c>
      <c r="D109" s="148" t="s">
        <v>190</v>
      </c>
      <c r="E109" s="149" t="s">
        <v>191</v>
      </c>
      <c r="F109" s="149" t="s">
        <v>141</v>
      </c>
      <c r="G109" s="150" t="s">
        <v>201</v>
      </c>
    </row>
    <row r="110" spans="2:7">
      <c r="B110" s="170">
        <v>1</v>
      </c>
      <c r="C110" s="171">
        <v>2</v>
      </c>
      <c r="D110" s="171">
        <v>3</v>
      </c>
      <c r="E110" s="172">
        <v>4</v>
      </c>
      <c r="F110" s="172">
        <v>5</v>
      </c>
      <c r="G110" s="152">
        <v>6</v>
      </c>
    </row>
    <row r="111" spans="2:7">
      <c r="B111" s="158">
        <v>4277</v>
      </c>
      <c r="C111" s="166" t="s">
        <v>149</v>
      </c>
      <c r="D111" s="166"/>
      <c r="E111" s="34">
        <v>1493.92</v>
      </c>
      <c r="F111" s="34">
        <v>868.75</v>
      </c>
      <c r="G111" s="119">
        <f>F111/E111*100</f>
        <v>58.152377637356743</v>
      </c>
    </row>
    <row r="112" spans="2:7">
      <c r="B112" s="158">
        <v>3222</v>
      </c>
      <c r="C112" s="166" t="s">
        <v>210</v>
      </c>
      <c r="D112" s="180">
        <v>100</v>
      </c>
      <c r="E112" s="34"/>
      <c r="F112" s="34"/>
      <c r="G112" s="119"/>
    </row>
    <row r="113" spans="2:7">
      <c r="B113" s="159" t="s">
        <v>115</v>
      </c>
      <c r="C113" s="167"/>
      <c r="D113" s="38">
        <v>100</v>
      </c>
      <c r="E113" s="38">
        <v>1493.92</v>
      </c>
      <c r="F113" s="38">
        <f>F111</f>
        <v>868.75</v>
      </c>
      <c r="G113" s="118">
        <f>F113/E113*100</f>
        <v>58.152377637356743</v>
      </c>
    </row>
    <row r="114" spans="2:7">
      <c r="B114" s="161"/>
      <c r="C114" s="173"/>
      <c r="D114" s="173"/>
      <c r="E114" s="36"/>
      <c r="F114" s="36"/>
      <c r="G114" s="162"/>
    </row>
    <row r="115" spans="2:7">
      <c r="B115" s="161"/>
      <c r="C115" s="173"/>
      <c r="D115" s="173"/>
      <c r="E115" s="36"/>
      <c r="F115" s="36"/>
      <c r="G115" s="162"/>
    </row>
    <row r="116" spans="2:7">
      <c r="B116" s="161" t="s">
        <v>133</v>
      </c>
      <c r="C116" s="29"/>
      <c r="D116" s="29"/>
      <c r="E116" s="30"/>
      <c r="F116" s="30"/>
      <c r="G116" s="30"/>
    </row>
    <row r="117" spans="2:7" ht="42.75">
      <c r="B117" s="146" t="s">
        <v>104</v>
      </c>
      <c r="C117" s="147" t="s">
        <v>105</v>
      </c>
      <c r="D117" s="148" t="s">
        <v>190</v>
      </c>
      <c r="E117" s="149" t="s">
        <v>191</v>
      </c>
      <c r="F117" s="149" t="s">
        <v>141</v>
      </c>
      <c r="G117" s="150" t="s">
        <v>201</v>
      </c>
    </row>
    <row r="118" spans="2:7">
      <c r="B118" s="170">
        <v>1</v>
      </c>
      <c r="C118" s="171">
        <v>2</v>
      </c>
      <c r="D118" s="171">
        <v>3</v>
      </c>
      <c r="E118" s="172">
        <v>4</v>
      </c>
      <c r="F118" s="172">
        <v>5</v>
      </c>
      <c r="G118" s="152">
        <v>6</v>
      </c>
    </row>
    <row r="119" spans="2:7">
      <c r="B119" s="158">
        <v>3222</v>
      </c>
      <c r="C119" s="166" t="s">
        <v>62</v>
      </c>
      <c r="D119" s="180">
        <v>17630</v>
      </c>
      <c r="E119" s="34">
        <v>2000</v>
      </c>
      <c r="F119" s="34"/>
      <c r="G119" s="181"/>
    </row>
    <row r="120" spans="2:7">
      <c r="B120" s="159" t="s">
        <v>115</v>
      </c>
      <c r="C120" s="167"/>
      <c r="D120" s="38">
        <v>17630</v>
      </c>
      <c r="E120" s="38">
        <v>2000</v>
      </c>
      <c r="F120" s="38"/>
      <c r="G120" s="182"/>
    </row>
    <row r="121" spans="2:7">
      <c r="B121" s="161"/>
      <c r="C121" s="173"/>
      <c r="D121" s="173"/>
      <c r="E121" s="36"/>
      <c r="F121" s="36"/>
      <c r="G121" s="162"/>
    </row>
    <row r="122" spans="2:7">
      <c r="B122" s="161"/>
      <c r="C122" s="173"/>
      <c r="D122" s="173"/>
      <c r="E122" s="36"/>
      <c r="F122" s="36"/>
      <c r="G122" s="162"/>
    </row>
    <row r="123" spans="2:7">
      <c r="B123" s="168" t="s">
        <v>134</v>
      </c>
      <c r="C123" s="169" t="s">
        <v>135</v>
      </c>
      <c r="D123" s="169"/>
      <c r="E123" s="37"/>
      <c r="F123" s="37"/>
      <c r="G123" s="37"/>
    </row>
    <row r="124" spans="2:7" ht="19.5" customHeight="1">
      <c r="B124" s="285" t="s">
        <v>204</v>
      </c>
      <c r="C124" s="286"/>
      <c r="D124" s="286"/>
      <c r="E124" s="286"/>
      <c r="F124" s="286"/>
      <c r="G124" s="286"/>
    </row>
    <row r="125" spans="2:7">
      <c r="B125" s="161" t="s">
        <v>136</v>
      </c>
      <c r="C125" s="29"/>
      <c r="D125" s="29"/>
      <c r="E125" s="30"/>
      <c r="F125" s="30"/>
      <c r="G125" s="30"/>
    </row>
    <row r="126" spans="2:7" ht="42.75">
      <c r="B126" s="146" t="s">
        <v>104</v>
      </c>
      <c r="C126" s="147" t="s">
        <v>105</v>
      </c>
      <c r="D126" s="148" t="s">
        <v>190</v>
      </c>
      <c r="E126" s="149" t="s">
        <v>191</v>
      </c>
      <c r="F126" s="149" t="s">
        <v>141</v>
      </c>
      <c r="G126" s="150" t="s">
        <v>201</v>
      </c>
    </row>
    <row r="127" spans="2:7">
      <c r="B127" s="170">
        <v>1</v>
      </c>
      <c r="C127" s="171">
        <v>2</v>
      </c>
      <c r="D127" s="171">
        <v>3</v>
      </c>
      <c r="E127" s="172">
        <v>4</v>
      </c>
      <c r="F127" s="172">
        <v>5</v>
      </c>
      <c r="G127" s="152">
        <v>6</v>
      </c>
    </row>
    <row r="128" spans="2:7">
      <c r="B128" s="158">
        <v>3222</v>
      </c>
      <c r="C128" s="166" t="s">
        <v>195</v>
      </c>
      <c r="D128" s="180">
        <v>12705</v>
      </c>
      <c r="E128" s="34">
        <v>850.28</v>
      </c>
      <c r="F128" s="34">
        <v>850.28</v>
      </c>
      <c r="G128" s="119">
        <f>F128/E128*100</f>
        <v>100</v>
      </c>
    </row>
    <row r="129" spans="2:7">
      <c r="B129" s="158">
        <v>3222</v>
      </c>
      <c r="C129" s="166" t="s">
        <v>196</v>
      </c>
      <c r="D129" s="180"/>
      <c r="E129" s="34">
        <v>474.55</v>
      </c>
      <c r="F129" s="34"/>
      <c r="G129" s="181"/>
    </row>
    <row r="130" spans="2:7">
      <c r="B130" s="159" t="s">
        <v>115</v>
      </c>
      <c r="C130" s="167"/>
      <c r="D130" s="183">
        <v>12705</v>
      </c>
      <c r="E130" s="38">
        <f>E129+E128</f>
        <v>1324.83</v>
      </c>
      <c r="F130" s="38">
        <v>850.28</v>
      </c>
      <c r="G130" s="118">
        <f>F130/E130*100</f>
        <v>64.180309926556617</v>
      </c>
    </row>
    <row r="131" spans="2:7">
      <c r="B131" s="161"/>
      <c r="C131" s="173"/>
      <c r="D131" s="173"/>
      <c r="E131" s="36"/>
      <c r="F131" s="36"/>
      <c r="G131" s="162"/>
    </row>
    <row r="132" spans="2:7">
      <c r="B132" s="161"/>
      <c r="C132" s="173"/>
      <c r="D132" s="173"/>
      <c r="E132" s="36"/>
      <c r="F132" s="36"/>
      <c r="G132" s="162"/>
    </row>
    <row r="133" spans="2:7">
      <c r="B133" s="161" t="s">
        <v>150</v>
      </c>
      <c r="C133" s="29"/>
      <c r="D133" s="29"/>
      <c r="E133" s="30"/>
      <c r="F133" s="30"/>
      <c r="G133" s="30"/>
    </row>
    <row r="134" spans="2:7" ht="42.75">
      <c r="B134" s="146" t="s">
        <v>104</v>
      </c>
      <c r="C134" s="147" t="s">
        <v>105</v>
      </c>
      <c r="D134" s="148" t="s">
        <v>190</v>
      </c>
      <c r="E134" s="149" t="s">
        <v>191</v>
      </c>
      <c r="F134" s="149" t="s">
        <v>141</v>
      </c>
      <c r="G134" s="150" t="s">
        <v>201</v>
      </c>
    </row>
    <row r="135" spans="2:7">
      <c r="B135" s="170">
        <v>1</v>
      </c>
      <c r="C135" s="171">
        <v>2</v>
      </c>
      <c r="D135" s="171">
        <v>3</v>
      </c>
      <c r="E135" s="172">
        <v>4</v>
      </c>
      <c r="F135" s="172">
        <v>5</v>
      </c>
      <c r="G135" s="152">
        <v>6</v>
      </c>
    </row>
    <row r="136" spans="2:7">
      <c r="B136" s="158">
        <v>3222</v>
      </c>
      <c r="C136" s="166" t="s">
        <v>198</v>
      </c>
      <c r="D136" s="166"/>
      <c r="E136" s="34">
        <v>3011.72</v>
      </c>
      <c r="F136" s="34">
        <v>3011.72</v>
      </c>
      <c r="G136" s="119">
        <f>F136/E136*100</f>
        <v>100</v>
      </c>
    </row>
    <row r="137" spans="2:7">
      <c r="B137" s="158">
        <v>3222</v>
      </c>
      <c r="C137" s="166" t="s">
        <v>197</v>
      </c>
      <c r="D137" s="166"/>
      <c r="E137" s="34">
        <v>3862</v>
      </c>
      <c r="F137" s="34"/>
      <c r="G137" s="181"/>
    </row>
    <row r="138" spans="2:7">
      <c r="B138" s="159" t="s">
        <v>115</v>
      </c>
      <c r="C138" s="167"/>
      <c r="D138" s="167"/>
      <c r="E138" s="38">
        <f>SUM(E136:E137)</f>
        <v>6873.7199999999993</v>
      </c>
      <c r="F138" s="38">
        <f>F136</f>
        <v>3011.72</v>
      </c>
      <c r="G138" s="118">
        <f>F138/E138*100</f>
        <v>43.814993918867806</v>
      </c>
    </row>
    <row r="139" spans="2:7">
      <c r="B139" s="161"/>
      <c r="C139" s="173"/>
      <c r="D139" s="173"/>
      <c r="E139" s="36"/>
      <c r="F139" s="36"/>
      <c r="G139" s="162"/>
    </row>
    <row r="140" spans="2:7">
      <c r="B140" s="161"/>
      <c r="C140" s="173"/>
      <c r="D140" s="173"/>
      <c r="E140" s="36"/>
      <c r="F140" s="36"/>
      <c r="G140" s="162"/>
    </row>
    <row r="141" spans="2:7">
      <c r="B141" s="161" t="s">
        <v>130</v>
      </c>
      <c r="C141" s="29"/>
      <c r="D141" s="29"/>
      <c r="E141" s="30"/>
      <c r="F141" s="30"/>
      <c r="G141" s="30"/>
    </row>
    <row r="142" spans="2:7" ht="42.75">
      <c r="B142" s="146" t="s">
        <v>104</v>
      </c>
      <c r="C142" s="147" t="s">
        <v>105</v>
      </c>
      <c r="D142" s="148" t="s">
        <v>190</v>
      </c>
      <c r="E142" s="149" t="s">
        <v>191</v>
      </c>
      <c r="F142" s="149" t="s">
        <v>141</v>
      </c>
      <c r="G142" s="150" t="s">
        <v>201</v>
      </c>
    </row>
    <row r="143" spans="2:7">
      <c r="B143" s="170">
        <v>1</v>
      </c>
      <c r="C143" s="171">
        <v>2</v>
      </c>
      <c r="D143" s="171">
        <v>3</v>
      </c>
      <c r="E143" s="172">
        <v>4</v>
      </c>
      <c r="F143" s="172">
        <v>5</v>
      </c>
      <c r="G143" s="152">
        <v>6</v>
      </c>
    </row>
    <row r="144" spans="2:7">
      <c r="B144" s="158">
        <v>3222</v>
      </c>
      <c r="C144" s="166" t="s">
        <v>196</v>
      </c>
      <c r="D144" s="166"/>
      <c r="E144" s="34">
        <v>375.73</v>
      </c>
      <c r="F144" s="34"/>
      <c r="G144" s="181"/>
    </row>
    <row r="145" spans="2:7">
      <c r="B145" s="159" t="s">
        <v>115</v>
      </c>
      <c r="C145" s="167"/>
      <c r="D145" s="167"/>
      <c r="E145" s="38">
        <v>375.73</v>
      </c>
      <c r="F145" s="38"/>
      <c r="G145" s="182"/>
    </row>
    <row r="146" spans="2:7">
      <c r="B146" s="161"/>
      <c r="C146" s="173"/>
      <c r="D146" s="173"/>
      <c r="E146" s="36"/>
      <c r="F146" s="36"/>
      <c r="G146" s="162"/>
    </row>
    <row r="147" spans="2:7">
      <c r="B147" s="161"/>
      <c r="C147" s="173"/>
      <c r="D147" s="173"/>
      <c r="E147" s="36"/>
      <c r="F147" s="36"/>
      <c r="G147" s="162"/>
    </row>
    <row r="148" spans="2:7">
      <c r="B148" s="168" t="s">
        <v>139</v>
      </c>
      <c r="C148" s="169" t="s">
        <v>140</v>
      </c>
      <c r="D148" s="169"/>
      <c r="E148" s="37"/>
      <c r="F148" s="37"/>
      <c r="G148" s="37"/>
    </row>
    <row r="149" spans="2:7">
      <c r="B149" s="285" t="s">
        <v>204</v>
      </c>
      <c r="C149" s="286"/>
      <c r="D149" s="286"/>
      <c r="E149" s="286"/>
      <c r="F149" s="286"/>
      <c r="G149" s="286"/>
    </row>
    <row r="150" spans="2:7">
      <c r="B150" s="161" t="s">
        <v>123</v>
      </c>
      <c r="C150" s="29"/>
      <c r="D150" s="29"/>
      <c r="E150" s="30"/>
      <c r="F150" s="30"/>
      <c r="G150" s="30"/>
    </row>
    <row r="151" spans="2:7" ht="42.75">
      <c r="B151" s="146" t="s">
        <v>104</v>
      </c>
      <c r="C151" s="147" t="s">
        <v>105</v>
      </c>
      <c r="D151" s="148" t="s">
        <v>190</v>
      </c>
      <c r="E151" s="149" t="s">
        <v>191</v>
      </c>
      <c r="F151" s="149" t="s">
        <v>141</v>
      </c>
      <c r="G151" s="150" t="s">
        <v>201</v>
      </c>
    </row>
    <row r="152" spans="2:7">
      <c r="B152" s="170">
        <v>1</v>
      </c>
      <c r="C152" s="171">
        <v>2</v>
      </c>
      <c r="D152" s="171">
        <v>3</v>
      </c>
      <c r="E152" s="172">
        <v>4</v>
      </c>
      <c r="F152" s="172">
        <v>5</v>
      </c>
      <c r="G152" s="152">
        <v>6</v>
      </c>
    </row>
    <row r="153" spans="2:7">
      <c r="B153" s="158">
        <v>3299</v>
      </c>
      <c r="C153" s="166" t="s">
        <v>124</v>
      </c>
      <c r="D153" s="166"/>
      <c r="E153" s="34">
        <v>1031.25</v>
      </c>
      <c r="F153" s="34">
        <v>1031.1600000000001</v>
      </c>
      <c r="G153" s="119">
        <f>F153/E153*100</f>
        <v>99.991272727272744</v>
      </c>
    </row>
    <row r="154" spans="2:7">
      <c r="B154" s="159" t="s">
        <v>115</v>
      </c>
      <c r="C154" s="167"/>
      <c r="D154" s="167"/>
      <c r="E154" s="38">
        <v>1031.25</v>
      </c>
      <c r="F154" s="38">
        <f>F153</f>
        <v>1031.1600000000001</v>
      </c>
      <c r="G154" s="118">
        <f>F154/E154*100</f>
        <v>99.991272727272744</v>
      </c>
    </row>
    <row r="155" spans="2:7">
      <c r="B155" s="161"/>
      <c r="C155" s="173"/>
      <c r="D155" s="173"/>
      <c r="E155" s="36"/>
      <c r="F155" s="36"/>
      <c r="G155" s="162"/>
    </row>
    <row r="156" spans="2:7">
      <c r="B156" s="161"/>
      <c r="C156" s="173"/>
      <c r="D156" s="173"/>
      <c r="E156" s="36"/>
      <c r="F156" s="36"/>
      <c r="G156" s="162"/>
    </row>
    <row r="157" spans="2:7">
      <c r="B157" s="168" t="s">
        <v>137</v>
      </c>
      <c r="C157" s="169" t="s">
        <v>138</v>
      </c>
      <c r="D157" s="169"/>
      <c r="E157" s="37"/>
      <c r="F157" s="37"/>
      <c r="G157" s="37"/>
    </row>
    <row r="158" spans="2:7">
      <c r="B158" s="285" t="s">
        <v>206</v>
      </c>
      <c r="C158" s="286"/>
      <c r="D158" s="286"/>
      <c r="E158" s="286"/>
      <c r="F158" s="286"/>
      <c r="G158" s="286"/>
    </row>
    <row r="159" spans="2:7">
      <c r="B159" s="161" t="s">
        <v>130</v>
      </c>
      <c r="C159" s="29"/>
      <c r="D159" s="29"/>
      <c r="E159" s="30"/>
      <c r="F159" s="30"/>
      <c r="G159" s="30"/>
    </row>
    <row r="160" spans="2:7" ht="42.75">
      <c r="B160" s="146" t="s">
        <v>104</v>
      </c>
      <c r="C160" s="147" t="s">
        <v>105</v>
      </c>
      <c r="D160" s="148" t="s">
        <v>190</v>
      </c>
      <c r="E160" s="149" t="s">
        <v>191</v>
      </c>
      <c r="F160" s="149" t="s">
        <v>141</v>
      </c>
      <c r="G160" s="150" t="s">
        <v>201</v>
      </c>
    </row>
    <row r="161" spans="2:7">
      <c r="B161" s="170">
        <v>1</v>
      </c>
      <c r="C161" s="171">
        <v>2</v>
      </c>
      <c r="D161" s="171">
        <v>3</v>
      </c>
      <c r="E161" s="172">
        <v>4</v>
      </c>
      <c r="F161" s="172">
        <v>5</v>
      </c>
      <c r="G161" s="152">
        <v>6</v>
      </c>
    </row>
    <row r="162" spans="2:7">
      <c r="B162" s="158">
        <v>4241</v>
      </c>
      <c r="C162" s="166" t="s">
        <v>138</v>
      </c>
      <c r="D162" s="180">
        <v>20000</v>
      </c>
      <c r="E162" s="34">
        <v>20000</v>
      </c>
      <c r="F162" s="34">
        <v>10990.24</v>
      </c>
      <c r="G162" s="119">
        <f>F162/E162*100</f>
        <v>54.9512</v>
      </c>
    </row>
    <row r="163" spans="2:7">
      <c r="B163" s="159" t="s">
        <v>115</v>
      </c>
      <c r="C163" s="167"/>
      <c r="D163" s="38">
        <v>20000</v>
      </c>
      <c r="E163" s="38">
        <v>20000</v>
      </c>
      <c r="F163" s="38">
        <f>F162</f>
        <v>10990.24</v>
      </c>
      <c r="G163" s="118">
        <f>F163/E163*100</f>
        <v>54.9512</v>
      </c>
    </row>
    <row r="164" spans="2:7">
      <c r="B164" s="161"/>
      <c r="C164" s="173"/>
      <c r="D164" s="173"/>
      <c r="E164" s="36"/>
      <c r="F164" s="36"/>
      <c r="G164" s="162"/>
    </row>
    <row r="165" spans="2:7">
      <c r="B165" s="161"/>
      <c r="C165" s="173"/>
      <c r="D165" s="173"/>
      <c r="E165" s="36"/>
      <c r="F165" s="36"/>
      <c r="G165" s="162"/>
    </row>
    <row r="166" spans="2:7">
      <c r="B166" s="168" t="s">
        <v>151</v>
      </c>
      <c r="C166" s="169" t="s">
        <v>152</v>
      </c>
      <c r="D166" s="169"/>
      <c r="E166" s="37"/>
      <c r="F166" s="37"/>
      <c r="G166" s="37"/>
    </row>
    <row r="167" spans="2:7">
      <c r="B167" s="285" t="s">
        <v>204</v>
      </c>
      <c r="C167" s="286"/>
      <c r="D167" s="286"/>
      <c r="E167" s="286"/>
      <c r="F167" s="286"/>
      <c r="G167" s="286"/>
    </row>
    <row r="168" spans="2:7">
      <c r="B168" s="161" t="s">
        <v>123</v>
      </c>
      <c r="C168" s="29"/>
      <c r="D168" s="29"/>
      <c r="E168" s="30"/>
      <c r="F168" s="30"/>
      <c r="G168" s="30"/>
    </row>
    <row r="169" spans="2:7" ht="42.75">
      <c r="B169" s="146" t="s">
        <v>104</v>
      </c>
      <c r="C169" s="147" t="s">
        <v>105</v>
      </c>
      <c r="D169" s="148" t="s">
        <v>190</v>
      </c>
      <c r="E169" s="149" t="s">
        <v>191</v>
      </c>
      <c r="F169" s="149" t="s">
        <v>141</v>
      </c>
      <c r="G169" s="150" t="s">
        <v>201</v>
      </c>
    </row>
    <row r="170" spans="2:7">
      <c r="B170" s="170">
        <v>1</v>
      </c>
      <c r="C170" s="171">
        <v>2</v>
      </c>
      <c r="D170" s="171">
        <v>3</v>
      </c>
      <c r="E170" s="172">
        <v>4</v>
      </c>
      <c r="F170" s="172">
        <v>5</v>
      </c>
      <c r="G170" s="152">
        <v>6</v>
      </c>
    </row>
    <row r="171" spans="2:7">
      <c r="B171" s="158">
        <v>3235</v>
      </c>
      <c r="C171" s="166" t="s">
        <v>70</v>
      </c>
      <c r="D171" s="166"/>
      <c r="E171" s="34">
        <v>84</v>
      </c>
      <c r="F171" s="34">
        <v>84</v>
      </c>
      <c r="G171" s="119">
        <f>F171/E171*100</f>
        <v>100</v>
      </c>
    </row>
    <row r="172" spans="2:7">
      <c r="B172" s="159" t="s">
        <v>115</v>
      </c>
      <c r="C172" s="167"/>
      <c r="D172" s="167"/>
      <c r="E172" s="38">
        <v>84</v>
      </c>
      <c r="F172" s="38">
        <f>84</f>
        <v>84</v>
      </c>
      <c r="G172" s="118">
        <f>F172/E172*100</f>
        <v>100</v>
      </c>
    </row>
    <row r="173" spans="2:7">
      <c r="B173" s="161"/>
      <c r="C173" s="173"/>
      <c r="D173" s="173"/>
      <c r="E173" s="36"/>
      <c r="F173" s="36"/>
      <c r="G173" s="162"/>
    </row>
    <row r="174" spans="2:7">
      <c r="B174" s="161"/>
      <c r="C174" s="173"/>
      <c r="D174" s="173"/>
      <c r="E174" s="36"/>
      <c r="F174" s="36"/>
      <c r="G174" s="162"/>
    </row>
    <row r="175" spans="2:7">
      <c r="B175" s="168" t="s">
        <v>153</v>
      </c>
      <c r="C175" s="169" t="s">
        <v>154</v>
      </c>
      <c r="D175" s="169"/>
      <c r="E175" s="37"/>
      <c r="F175" s="37"/>
      <c r="G175" s="37"/>
    </row>
    <row r="176" spans="2:7">
      <c r="B176" s="285" t="s">
        <v>204</v>
      </c>
      <c r="C176" s="286"/>
      <c r="D176" s="286"/>
      <c r="E176" s="286"/>
      <c r="F176" s="286"/>
      <c r="G176" s="286"/>
    </row>
    <row r="177" spans="2:7">
      <c r="B177" s="161" t="s">
        <v>131</v>
      </c>
      <c r="C177" s="29"/>
      <c r="D177" s="29"/>
      <c r="E177" s="30"/>
      <c r="F177" s="30"/>
      <c r="G177" s="30"/>
    </row>
    <row r="178" spans="2:7" ht="42.75">
      <c r="B178" s="146" t="s">
        <v>104</v>
      </c>
      <c r="C178" s="147" t="s">
        <v>105</v>
      </c>
      <c r="D178" s="148" t="s">
        <v>190</v>
      </c>
      <c r="E178" s="149" t="s">
        <v>191</v>
      </c>
      <c r="F178" s="149" t="s">
        <v>141</v>
      </c>
      <c r="G178" s="150" t="s">
        <v>201</v>
      </c>
    </row>
    <row r="179" spans="2:7">
      <c r="B179" s="170">
        <v>1</v>
      </c>
      <c r="C179" s="171">
        <v>2</v>
      </c>
      <c r="D179" s="171">
        <v>3</v>
      </c>
      <c r="E179" s="172">
        <v>4</v>
      </c>
      <c r="F179" s="172">
        <v>5</v>
      </c>
      <c r="G179" s="152">
        <v>6</v>
      </c>
    </row>
    <row r="180" spans="2:7">
      <c r="B180" s="158">
        <v>3111</v>
      </c>
      <c r="C180" s="166" t="s">
        <v>22</v>
      </c>
      <c r="D180" s="180">
        <v>14792.12</v>
      </c>
      <c r="E180" s="34">
        <v>15600</v>
      </c>
      <c r="F180" s="34">
        <v>17937.29</v>
      </c>
      <c r="G180" s="119">
        <f>F180/E180*100</f>
        <v>114.98262820512821</v>
      </c>
    </row>
    <row r="181" spans="2:7">
      <c r="B181" s="158">
        <v>3121</v>
      </c>
      <c r="C181" s="166" t="s">
        <v>56</v>
      </c>
      <c r="D181" s="180">
        <v>1035.24</v>
      </c>
      <c r="E181" s="34">
        <v>909.21</v>
      </c>
      <c r="F181" s="34">
        <v>900</v>
      </c>
      <c r="G181" s="119">
        <f t="shared" ref="G181:G185" si="4">F181/E181*100</f>
        <v>98.987032698716462</v>
      </c>
    </row>
    <row r="182" spans="2:7">
      <c r="B182" s="158">
        <v>3132</v>
      </c>
      <c r="C182" s="166" t="s">
        <v>155</v>
      </c>
      <c r="D182" s="180">
        <v>2440.6999999999998</v>
      </c>
      <c r="E182" s="34">
        <v>2600</v>
      </c>
      <c r="F182" s="34">
        <v>2959.63</v>
      </c>
      <c r="G182" s="119">
        <f t="shared" si="4"/>
        <v>113.83192307692309</v>
      </c>
    </row>
    <row r="183" spans="2:7">
      <c r="B183" s="158">
        <v>3211</v>
      </c>
      <c r="C183" s="166" t="s">
        <v>24</v>
      </c>
      <c r="D183" s="180"/>
      <c r="E183" s="34"/>
      <c r="F183" s="74">
        <v>26.54</v>
      </c>
      <c r="G183" s="181"/>
    </row>
    <row r="184" spans="2:7">
      <c r="B184" s="158">
        <v>3212</v>
      </c>
      <c r="C184" s="166" t="s">
        <v>156</v>
      </c>
      <c r="D184" s="180">
        <v>265.45</v>
      </c>
      <c r="E184" s="34">
        <v>1000</v>
      </c>
      <c r="F184" s="34">
        <v>229.61</v>
      </c>
      <c r="G184" s="119">
        <f t="shared" si="4"/>
        <v>22.961000000000002</v>
      </c>
    </row>
    <row r="185" spans="2:7">
      <c r="B185" s="159" t="s">
        <v>115</v>
      </c>
      <c r="C185" s="167"/>
      <c r="D185" s="38">
        <f>SUM(D180:D184)</f>
        <v>18533.510000000002</v>
      </c>
      <c r="E185" s="38">
        <f>SUM(E180:E184)</f>
        <v>20109.21</v>
      </c>
      <c r="F185" s="38">
        <f>SUM(F180:F184)</f>
        <v>22053.070000000003</v>
      </c>
      <c r="G185" s="118">
        <f t="shared" si="4"/>
        <v>109.66651598943969</v>
      </c>
    </row>
    <row r="186" spans="2:7">
      <c r="B186" s="161"/>
      <c r="C186" s="173"/>
      <c r="D186" s="173"/>
      <c r="E186" s="36"/>
      <c r="F186" s="36"/>
      <c r="G186" s="162"/>
    </row>
    <row r="187" spans="2:7">
      <c r="B187" s="29"/>
      <c r="C187" s="29"/>
      <c r="D187" s="173"/>
      <c r="E187" s="36"/>
      <c r="F187" s="36"/>
      <c r="G187" s="162"/>
    </row>
    <row r="188" spans="2:7">
      <c r="B188" s="161" t="s">
        <v>133</v>
      </c>
      <c r="C188" s="173"/>
      <c r="D188" s="173"/>
      <c r="E188" s="36"/>
      <c r="F188" s="36"/>
      <c r="G188" s="162"/>
    </row>
    <row r="189" spans="2:7" ht="42.75">
      <c r="B189" s="146" t="s">
        <v>104</v>
      </c>
      <c r="C189" s="147" t="s">
        <v>105</v>
      </c>
      <c r="D189" s="148" t="s">
        <v>190</v>
      </c>
      <c r="E189" s="149" t="s">
        <v>191</v>
      </c>
      <c r="F189" s="149" t="s">
        <v>141</v>
      </c>
      <c r="G189" s="150" t="s">
        <v>201</v>
      </c>
    </row>
    <row r="190" spans="2:7">
      <c r="B190" s="170">
        <v>1</v>
      </c>
      <c r="C190" s="171">
        <v>2</v>
      </c>
      <c r="D190" s="171">
        <v>3</v>
      </c>
      <c r="E190" s="172">
        <v>4</v>
      </c>
      <c r="F190" s="172">
        <v>5</v>
      </c>
      <c r="G190" s="152">
        <v>6</v>
      </c>
    </row>
    <row r="191" spans="2:7">
      <c r="B191" s="158">
        <v>3222</v>
      </c>
      <c r="C191" s="166" t="s">
        <v>157</v>
      </c>
      <c r="D191" s="180">
        <v>7850</v>
      </c>
      <c r="E191" s="34">
        <v>5000</v>
      </c>
      <c r="F191" s="34">
        <v>1624.51</v>
      </c>
      <c r="G191" s="119">
        <f>F191/E191*100</f>
        <v>32.490200000000002</v>
      </c>
    </row>
    <row r="192" spans="2:7">
      <c r="B192" s="159" t="s">
        <v>115</v>
      </c>
      <c r="C192" s="167"/>
      <c r="D192" s="38">
        <v>7850</v>
      </c>
      <c r="E192" s="38">
        <v>5000</v>
      </c>
      <c r="F192" s="38">
        <f>F191</f>
        <v>1624.51</v>
      </c>
      <c r="G192" s="118">
        <f>F192/E192*100</f>
        <v>32.490200000000002</v>
      </c>
    </row>
    <row r="193" spans="2:11">
      <c r="B193" s="161"/>
      <c r="C193" s="173"/>
      <c r="D193" s="173"/>
      <c r="E193" s="36"/>
      <c r="F193" s="36"/>
      <c r="G193" s="162"/>
      <c r="K193" s="27"/>
    </row>
    <row r="194" spans="2:11">
      <c r="B194" s="161"/>
      <c r="C194" s="173"/>
      <c r="D194" s="173"/>
      <c r="E194" s="36"/>
      <c r="F194" s="36"/>
      <c r="G194" s="162"/>
    </row>
    <row r="195" spans="2:11">
      <c r="B195" s="161" t="s">
        <v>148</v>
      </c>
      <c r="C195" s="173"/>
      <c r="D195" s="173"/>
      <c r="E195" s="36"/>
      <c r="F195" s="36"/>
      <c r="G195" s="162"/>
    </row>
    <row r="196" spans="2:11" ht="42.75">
      <c r="B196" s="146" t="s">
        <v>104</v>
      </c>
      <c r="C196" s="147" t="s">
        <v>105</v>
      </c>
      <c r="D196" s="148" t="s">
        <v>182</v>
      </c>
      <c r="E196" s="149" t="s">
        <v>183</v>
      </c>
      <c r="F196" s="149" t="s">
        <v>141</v>
      </c>
      <c r="G196" s="150" t="s">
        <v>201</v>
      </c>
    </row>
    <row r="197" spans="2:11">
      <c r="B197" s="170">
        <v>1</v>
      </c>
      <c r="C197" s="171">
        <v>2</v>
      </c>
      <c r="D197" s="171">
        <v>3</v>
      </c>
      <c r="E197" s="172">
        <v>4</v>
      </c>
      <c r="F197" s="172">
        <v>5</v>
      </c>
      <c r="G197" s="152">
        <v>6</v>
      </c>
    </row>
    <row r="198" spans="2:11">
      <c r="B198" s="158">
        <v>3121</v>
      </c>
      <c r="C198" s="166" t="s">
        <v>56</v>
      </c>
      <c r="D198" s="166"/>
      <c r="E198" s="34">
        <v>290.79000000000002</v>
      </c>
      <c r="F198" s="34"/>
      <c r="G198" s="119"/>
    </row>
    <row r="199" spans="2:11">
      <c r="B199" s="159" t="s">
        <v>115</v>
      </c>
      <c r="C199" s="167"/>
      <c r="D199" s="167"/>
      <c r="E199" s="38">
        <v>290.79000000000002</v>
      </c>
      <c r="F199" s="38"/>
      <c r="G199" s="118"/>
    </row>
    <row r="200" spans="2:11">
      <c r="B200" s="161"/>
      <c r="C200" s="173"/>
      <c r="D200" s="173"/>
      <c r="E200" s="36"/>
      <c r="F200" s="36"/>
      <c r="G200" s="162"/>
    </row>
    <row r="201" spans="2:11">
      <c r="B201" s="161"/>
      <c r="C201" s="173"/>
      <c r="D201" s="173"/>
      <c r="E201" s="36"/>
      <c r="F201" s="36"/>
      <c r="G201" s="162"/>
    </row>
    <row r="202" spans="2:11">
      <c r="B202" s="168" t="s">
        <v>158</v>
      </c>
      <c r="C202" s="169" t="s">
        <v>159</v>
      </c>
      <c r="D202" s="169"/>
      <c r="E202" s="174"/>
      <c r="F202" s="174"/>
      <c r="G202" s="175"/>
    </row>
    <row r="203" spans="2:11">
      <c r="B203" s="285" t="s">
        <v>204</v>
      </c>
      <c r="C203" s="286"/>
      <c r="D203" s="286"/>
      <c r="E203" s="286"/>
      <c r="F203" s="286"/>
      <c r="G203" s="286"/>
    </row>
    <row r="204" spans="2:11">
      <c r="B204" s="161" t="s">
        <v>160</v>
      </c>
      <c r="C204" s="29"/>
      <c r="D204" s="29"/>
      <c r="E204" s="36"/>
      <c r="F204" s="36"/>
      <c r="G204" s="162"/>
    </row>
    <row r="205" spans="2:11" ht="42.75">
      <c r="B205" s="146" t="s">
        <v>104</v>
      </c>
      <c r="C205" s="147" t="s">
        <v>105</v>
      </c>
      <c r="D205" s="148" t="s">
        <v>182</v>
      </c>
      <c r="E205" s="149" t="s">
        <v>183</v>
      </c>
      <c r="F205" s="149" t="s">
        <v>141</v>
      </c>
      <c r="G205" s="150" t="s">
        <v>201</v>
      </c>
    </row>
    <row r="206" spans="2:11">
      <c r="B206" s="170">
        <v>1</v>
      </c>
      <c r="C206" s="171">
        <v>2</v>
      </c>
      <c r="D206" s="171">
        <v>3</v>
      </c>
      <c r="E206" s="172">
        <v>4</v>
      </c>
      <c r="F206" s="172">
        <v>5</v>
      </c>
      <c r="G206" s="152">
        <v>6</v>
      </c>
    </row>
    <row r="207" spans="2:11">
      <c r="B207" s="158">
        <v>3221</v>
      </c>
      <c r="C207" s="166" t="s">
        <v>161</v>
      </c>
      <c r="D207" s="166"/>
      <c r="E207" s="34"/>
      <c r="F207" s="34">
        <v>578.28</v>
      </c>
      <c r="G207" s="119"/>
    </row>
    <row r="208" spans="2:11">
      <c r="B208" s="158">
        <v>3222</v>
      </c>
      <c r="C208" s="166" t="s">
        <v>62</v>
      </c>
      <c r="D208" s="166"/>
      <c r="E208" s="34">
        <v>38949.519999999997</v>
      </c>
      <c r="F208" s="34">
        <v>38440.81</v>
      </c>
      <c r="G208" s="119"/>
    </row>
    <row r="209" spans="2:7">
      <c r="B209" s="159" t="s">
        <v>115</v>
      </c>
      <c r="C209" s="167"/>
      <c r="D209" s="167"/>
      <c r="E209" s="38">
        <v>38949.519999999997</v>
      </c>
      <c r="F209" s="38">
        <f>F208+F207</f>
        <v>39019.089999999997</v>
      </c>
      <c r="G209" s="118">
        <f t="shared" ref="G209" si="5">SUM(G202)</f>
        <v>0</v>
      </c>
    </row>
    <row r="210" spans="2:7">
      <c r="B210" s="135"/>
      <c r="C210" s="184"/>
      <c r="D210" s="184"/>
      <c r="E210" s="30"/>
      <c r="F210" s="30"/>
      <c r="G210" s="185"/>
    </row>
    <row r="211" spans="2:7">
      <c r="B211" s="135"/>
      <c r="C211" s="184"/>
      <c r="D211" s="184"/>
      <c r="E211" s="30"/>
      <c r="F211" s="30"/>
      <c r="G211" s="185"/>
    </row>
    <row r="212" spans="2:7">
      <c r="B212" s="168" t="s">
        <v>162</v>
      </c>
      <c r="C212" s="169" t="s">
        <v>163</v>
      </c>
      <c r="D212" s="169"/>
      <c r="E212" s="174"/>
      <c r="F212" s="174"/>
      <c r="G212" s="175"/>
    </row>
    <row r="213" spans="2:7">
      <c r="B213" s="285" t="s">
        <v>204</v>
      </c>
      <c r="C213" s="286"/>
      <c r="D213" s="286"/>
      <c r="E213" s="286"/>
      <c r="F213" s="286"/>
      <c r="G213" s="286"/>
    </row>
    <row r="214" spans="2:7">
      <c r="B214" s="161" t="s">
        <v>160</v>
      </c>
      <c r="C214" s="29"/>
      <c r="D214" s="29"/>
      <c r="E214" s="36"/>
      <c r="F214" s="36"/>
      <c r="G214" s="162"/>
    </row>
    <row r="215" spans="2:7" ht="42.75">
      <c r="B215" s="146" t="s">
        <v>104</v>
      </c>
      <c r="C215" s="147" t="s">
        <v>105</v>
      </c>
      <c r="D215" s="148" t="s">
        <v>182</v>
      </c>
      <c r="E215" s="149" t="s">
        <v>183</v>
      </c>
      <c r="F215" s="149" t="s">
        <v>141</v>
      </c>
      <c r="G215" s="150" t="s">
        <v>201</v>
      </c>
    </row>
    <row r="216" spans="2:7">
      <c r="B216" s="170">
        <v>1</v>
      </c>
      <c r="C216" s="171">
        <v>2</v>
      </c>
      <c r="D216" s="171">
        <v>3</v>
      </c>
      <c r="E216" s="172">
        <v>4</v>
      </c>
      <c r="F216" s="172">
        <v>5</v>
      </c>
      <c r="G216" s="152">
        <v>6</v>
      </c>
    </row>
    <row r="217" spans="2:7">
      <c r="B217" s="158">
        <v>3812</v>
      </c>
      <c r="C217" s="166" t="s">
        <v>164</v>
      </c>
      <c r="D217" s="166"/>
      <c r="E217" s="34">
        <v>361.47</v>
      </c>
      <c r="F217" s="34">
        <v>361.47</v>
      </c>
      <c r="G217" s="119">
        <f>F217/E217*100</f>
        <v>100</v>
      </c>
    </row>
    <row r="218" spans="2:7">
      <c r="B218" s="159" t="s">
        <v>115</v>
      </c>
      <c r="C218" s="167"/>
      <c r="D218" s="167"/>
      <c r="E218" s="38">
        <v>361.47</v>
      </c>
      <c r="F218" s="38">
        <f>F217</f>
        <v>361.47</v>
      </c>
      <c r="G218" s="118">
        <f>F218/E218*100</f>
        <v>100</v>
      </c>
    </row>
    <row r="219" spans="2:7">
      <c r="B219" s="161"/>
      <c r="C219" s="173"/>
      <c r="D219" s="173"/>
      <c r="E219" s="36"/>
      <c r="F219" s="36"/>
      <c r="G219" s="162"/>
    </row>
    <row r="220" spans="2:7">
      <c r="B220" s="161"/>
      <c r="C220" s="173"/>
      <c r="D220" s="173"/>
      <c r="E220" s="36"/>
      <c r="F220" s="36"/>
      <c r="G220" s="162"/>
    </row>
    <row r="221" spans="2:7">
      <c r="B221" s="168" t="s">
        <v>167</v>
      </c>
      <c r="C221" s="169" t="s">
        <v>168</v>
      </c>
      <c r="D221" s="169"/>
      <c r="E221" s="174"/>
      <c r="F221" s="174"/>
      <c r="G221" s="175"/>
    </row>
    <row r="222" spans="2:7">
      <c r="B222" s="285" t="s">
        <v>204</v>
      </c>
      <c r="C222" s="286"/>
      <c r="D222" s="286"/>
      <c r="E222" s="286"/>
      <c r="F222" s="286"/>
      <c r="G222" s="286"/>
    </row>
    <row r="223" spans="2:7">
      <c r="B223" s="161" t="s">
        <v>166</v>
      </c>
      <c r="C223" s="29"/>
      <c r="D223" s="29"/>
      <c r="E223" s="36"/>
      <c r="F223" s="36"/>
      <c r="G223" s="162"/>
    </row>
    <row r="224" spans="2:7" ht="42.75">
      <c r="B224" s="146" t="s">
        <v>104</v>
      </c>
      <c r="C224" s="147" t="s">
        <v>105</v>
      </c>
      <c r="D224" s="148" t="s">
        <v>182</v>
      </c>
      <c r="E224" s="149" t="s">
        <v>183</v>
      </c>
      <c r="F224" s="149" t="s">
        <v>141</v>
      </c>
      <c r="G224" s="150" t="s">
        <v>201</v>
      </c>
    </row>
    <row r="225" spans="2:7">
      <c r="B225" s="170">
        <v>1</v>
      </c>
      <c r="C225" s="171">
        <v>2</v>
      </c>
      <c r="D225" s="171">
        <v>3</v>
      </c>
      <c r="E225" s="172">
        <v>4</v>
      </c>
      <c r="F225" s="172">
        <v>5</v>
      </c>
      <c r="G225" s="152">
        <v>6</v>
      </c>
    </row>
    <row r="226" spans="2:7">
      <c r="B226" s="158">
        <v>3111</v>
      </c>
      <c r="C226" s="166" t="s">
        <v>22</v>
      </c>
      <c r="D226" s="180">
        <v>457214.32</v>
      </c>
      <c r="E226" s="34">
        <v>457214.32</v>
      </c>
      <c r="F226" s="34">
        <f>468666.96-203.73</f>
        <v>468463.23000000004</v>
      </c>
      <c r="G226" s="119">
        <f>F226/E226*100</f>
        <v>102.46031445384301</v>
      </c>
    </row>
    <row r="227" spans="2:7">
      <c r="B227" s="158">
        <v>3121</v>
      </c>
      <c r="C227" s="166" t="s">
        <v>56</v>
      </c>
      <c r="D227" s="180">
        <v>14599.51</v>
      </c>
      <c r="E227" s="34">
        <v>31000</v>
      </c>
      <c r="F227" s="34">
        <f>24425.43-172.01</f>
        <v>24253.420000000002</v>
      </c>
      <c r="G227" s="119">
        <f t="shared" ref="G227:G231" si="6">F227/E227*100</f>
        <v>78.236838709677428</v>
      </c>
    </row>
    <row r="228" spans="2:7">
      <c r="B228" s="158">
        <v>3132</v>
      </c>
      <c r="C228" s="166" t="s">
        <v>169</v>
      </c>
      <c r="D228" s="180">
        <v>75440.36</v>
      </c>
      <c r="E228" s="34">
        <v>75440.36</v>
      </c>
      <c r="F228" s="34">
        <v>77296.41</v>
      </c>
      <c r="G228" s="119">
        <f t="shared" si="6"/>
        <v>102.46028783531787</v>
      </c>
    </row>
    <row r="229" spans="2:7">
      <c r="B229" s="158">
        <v>3212</v>
      </c>
      <c r="C229" s="166" t="s">
        <v>156</v>
      </c>
      <c r="D229" s="180">
        <v>24198.69</v>
      </c>
      <c r="E229" s="34">
        <v>24198.69</v>
      </c>
      <c r="F229" s="34">
        <v>16442.45</v>
      </c>
      <c r="G229" s="119">
        <f t="shared" si="6"/>
        <v>67.947686424347779</v>
      </c>
    </row>
    <row r="230" spans="2:7">
      <c r="B230" s="158">
        <v>3295</v>
      </c>
      <c r="C230" s="166" t="s">
        <v>199</v>
      </c>
      <c r="D230" s="180">
        <v>1327.23</v>
      </c>
      <c r="E230" s="34">
        <v>1327.23</v>
      </c>
      <c r="F230" s="34"/>
      <c r="G230" s="119"/>
    </row>
    <row r="231" spans="2:7">
      <c r="B231" s="159" t="s">
        <v>115</v>
      </c>
      <c r="C231" s="167"/>
      <c r="D231" s="38">
        <f>SUM(D226:D230)</f>
        <v>572780.11</v>
      </c>
      <c r="E231" s="38">
        <f>SUM(E226:E230)</f>
        <v>589180.6</v>
      </c>
      <c r="F231" s="38">
        <f>SUM(F226:F230)</f>
        <v>586455.51</v>
      </c>
      <c r="G231" s="118">
        <f t="shared" si="6"/>
        <v>99.537477982133154</v>
      </c>
    </row>
    <row r="232" spans="2:7">
      <c r="B232" s="161"/>
      <c r="C232" s="173"/>
      <c r="D232" s="173"/>
      <c r="E232" s="36"/>
      <c r="F232" s="36"/>
      <c r="G232" s="162"/>
    </row>
    <row r="233" spans="2:7">
      <c r="B233" s="161"/>
      <c r="C233" s="173"/>
      <c r="D233" s="173"/>
      <c r="E233" s="36"/>
      <c r="F233" s="36"/>
      <c r="G233" s="162"/>
    </row>
    <row r="234" spans="2:7">
      <c r="B234" s="168" t="s">
        <v>230</v>
      </c>
      <c r="C234" s="169" t="s">
        <v>170</v>
      </c>
      <c r="D234" s="169"/>
      <c r="E234" s="174"/>
      <c r="F234" s="174"/>
      <c r="G234" s="175"/>
    </row>
    <row r="235" spans="2:7">
      <c r="B235" s="285" t="s">
        <v>204</v>
      </c>
      <c r="C235" s="286"/>
      <c r="D235" s="286"/>
      <c r="E235" s="286"/>
      <c r="F235" s="286"/>
      <c r="G235" s="286"/>
    </row>
    <row r="236" spans="2:7">
      <c r="B236" s="161" t="s">
        <v>166</v>
      </c>
      <c r="C236" s="29"/>
      <c r="D236" s="29"/>
      <c r="E236" s="36"/>
      <c r="F236" s="36"/>
      <c r="G236" s="162"/>
    </row>
    <row r="237" spans="2:7" ht="42.75">
      <c r="B237" s="146" t="s">
        <v>104</v>
      </c>
      <c r="C237" s="147" t="s">
        <v>105</v>
      </c>
      <c r="D237" s="148" t="s">
        <v>182</v>
      </c>
      <c r="E237" s="149" t="s">
        <v>183</v>
      </c>
      <c r="F237" s="149" t="s">
        <v>141</v>
      </c>
      <c r="G237" s="150" t="s">
        <v>201</v>
      </c>
    </row>
    <row r="238" spans="2:7">
      <c r="B238" s="170">
        <v>1</v>
      </c>
      <c r="C238" s="171">
        <v>2</v>
      </c>
      <c r="D238" s="171">
        <v>3</v>
      </c>
      <c r="E238" s="172">
        <v>4</v>
      </c>
      <c r="F238" s="172">
        <v>5</v>
      </c>
      <c r="G238" s="152">
        <v>6</v>
      </c>
    </row>
    <row r="239" spans="2:7">
      <c r="B239" s="158">
        <v>3111</v>
      </c>
      <c r="C239" s="166" t="s">
        <v>171</v>
      </c>
      <c r="D239" s="166"/>
      <c r="E239" s="34">
        <v>430</v>
      </c>
      <c r="F239" s="34">
        <v>203.73</v>
      </c>
      <c r="G239" s="119">
        <f>F239/E239*100</f>
        <v>47.379069767441855</v>
      </c>
    </row>
    <row r="240" spans="2:7">
      <c r="B240" s="158">
        <v>3121</v>
      </c>
      <c r="C240" s="166" t="s">
        <v>56</v>
      </c>
      <c r="D240" s="166">
        <v>663.61</v>
      </c>
      <c r="E240" s="34">
        <v>663.61</v>
      </c>
      <c r="F240" s="34">
        <v>172.01</v>
      </c>
      <c r="G240" s="119">
        <f t="shared" ref="G240:G244" si="7">F240/E240*100</f>
        <v>25.920344780820059</v>
      </c>
    </row>
    <row r="241" spans="2:11">
      <c r="B241" s="158">
        <v>3296</v>
      </c>
      <c r="C241" s="166" t="s">
        <v>172</v>
      </c>
      <c r="D241" s="166"/>
      <c r="E241" s="34">
        <v>190</v>
      </c>
      <c r="F241" s="34">
        <v>85.57</v>
      </c>
      <c r="G241" s="119">
        <f t="shared" si="7"/>
        <v>45.036842105263155</v>
      </c>
    </row>
    <row r="242" spans="2:11">
      <c r="B242" s="158">
        <v>42411</v>
      </c>
      <c r="C242" s="166" t="s">
        <v>173</v>
      </c>
      <c r="D242" s="166">
        <v>663.61</v>
      </c>
      <c r="E242" s="34">
        <v>663.61</v>
      </c>
      <c r="F242" s="34">
        <v>295.64</v>
      </c>
      <c r="G242" s="119">
        <f t="shared" si="7"/>
        <v>44.550262955651661</v>
      </c>
    </row>
    <row r="243" spans="2:11">
      <c r="B243" s="158">
        <v>3235</v>
      </c>
      <c r="C243" s="166" t="s">
        <v>200</v>
      </c>
      <c r="D243" s="166">
        <v>398.17</v>
      </c>
      <c r="E243" s="34">
        <v>398.17</v>
      </c>
      <c r="F243" s="34"/>
      <c r="G243" s="119"/>
    </row>
    <row r="244" spans="2:11">
      <c r="B244" s="159" t="s">
        <v>115</v>
      </c>
      <c r="C244" s="167"/>
      <c r="D244" s="38">
        <f>D243+D242+D240</f>
        <v>1725.3899999999999</v>
      </c>
      <c r="E244" s="38">
        <f>SUM(E239:E243)</f>
        <v>2345.3900000000003</v>
      </c>
      <c r="F244" s="38">
        <f>SUM(F239:F242)</f>
        <v>756.95</v>
      </c>
      <c r="G244" s="118">
        <f t="shared" si="7"/>
        <v>32.273950174597829</v>
      </c>
    </row>
    <row r="245" spans="2:11">
      <c r="B245" s="161"/>
      <c r="C245" s="173"/>
      <c r="D245" s="173"/>
      <c r="E245" s="36"/>
      <c r="F245" s="36"/>
      <c r="G245" s="162"/>
    </row>
    <row r="246" spans="2:11">
      <c r="B246" s="161"/>
      <c r="C246" s="173"/>
      <c r="D246" s="173"/>
      <c r="E246" s="36"/>
      <c r="F246" s="36"/>
      <c r="G246" s="162"/>
      <c r="K246" s="27"/>
    </row>
    <row r="247" spans="2:11">
      <c r="B247" s="161" t="s">
        <v>174</v>
      </c>
      <c r="C247" s="29"/>
      <c r="D247" s="29"/>
      <c r="E247" s="36"/>
      <c r="F247" s="36"/>
      <c r="G247" s="162"/>
      <c r="K247" s="27"/>
    </row>
    <row r="248" spans="2:11" ht="42.75">
      <c r="B248" s="146" t="s">
        <v>104</v>
      </c>
      <c r="C248" s="147" t="s">
        <v>105</v>
      </c>
      <c r="D248" s="148" t="s">
        <v>182</v>
      </c>
      <c r="E248" s="149" t="s">
        <v>183</v>
      </c>
      <c r="F248" s="149" t="s">
        <v>141</v>
      </c>
      <c r="G248" s="150" t="s">
        <v>201</v>
      </c>
    </row>
    <row r="249" spans="2:11">
      <c r="B249" s="170">
        <v>1</v>
      </c>
      <c r="C249" s="171">
        <v>2</v>
      </c>
      <c r="D249" s="171">
        <v>3</v>
      </c>
      <c r="E249" s="172">
        <v>4</v>
      </c>
      <c r="F249" s="172">
        <v>5</v>
      </c>
      <c r="G249" s="152">
        <v>6</v>
      </c>
    </row>
    <row r="250" spans="2:11">
      <c r="B250" s="158">
        <v>3232</v>
      </c>
      <c r="C250" s="166" t="s">
        <v>68</v>
      </c>
      <c r="D250" s="166"/>
      <c r="E250" s="34">
        <v>6496.69</v>
      </c>
      <c r="F250" s="34">
        <v>6330</v>
      </c>
      <c r="G250" s="119">
        <f>F250/E250*100</f>
        <v>97.434231893471917</v>
      </c>
    </row>
    <row r="251" spans="2:11">
      <c r="B251" s="159" t="s">
        <v>115</v>
      </c>
      <c r="C251" s="167"/>
      <c r="D251" s="167"/>
      <c r="E251" s="38">
        <v>6496.69</v>
      </c>
      <c r="F251" s="38">
        <f>F250</f>
        <v>6330</v>
      </c>
      <c r="G251" s="118">
        <f>F251/E251*100</f>
        <v>97.434231893471917</v>
      </c>
    </row>
    <row r="252" spans="2:11">
      <c r="B252" s="161"/>
      <c r="C252" s="173"/>
      <c r="D252" s="173"/>
      <c r="E252" s="36"/>
      <c r="F252" s="36"/>
      <c r="G252" s="162"/>
    </row>
    <row r="253" spans="2:11">
      <c r="B253" s="161"/>
      <c r="C253" s="173"/>
      <c r="D253" s="173"/>
      <c r="E253" s="36"/>
      <c r="F253" s="36"/>
      <c r="G253" s="162"/>
    </row>
    <row r="254" spans="2:11">
      <c r="B254" s="161" t="s">
        <v>175</v>
      </c>
      <c r="C254" s="29"/>
      <c r="D254" s="29"/>
      <c r="E254" s="36"/>
      <c r="F254" s="36"/>
      <c r="G254" s="162"/>
    </row>
    <row r="255" spans="2:11" ht="42.75">
      <c r="B255" s="146" t="s">
        <v>104</v>
      </c>
      <c r="C255" s="147" t="s">
        <v>105</v>
      </c>
      <c r="D255" s="148" t="s">
        <v>182</v>
      </c>
      <c r="E255" s="149" t="s">
        <v>183</v>
      </c>
      <c r="F255" s="149" t="s">
        <v>141</v>
      </c>
      <c r="G255" s="150" t="s">
        <v>201</v>
      </c>
    </row>
    <row r="256" spans="2:11">
      <c r="B256" s="170">
        <v>1</v>
      </c>
      <c r="C256" s="171">
        <v>2</v>
      </c>
      <c r="D256" s="171">
        <v>3</v>
      </c>
      <c r="E256" s="172">
        <v>4</v>
      </c>
      <c r="F256" s="172">
        <v>5</v>
      </c>
      <c r="G256" s="152">
        <v>6</v>
      </c>
    </row>
    <row r="257" spans="2:7">
      <c r="B257" s="158">
        <v>3211</v>
      </c>
      <c r="C257" s="166" t="s">
        <v>176</v>
      </c>
      <c r="D257" s="166"/>
      <c r="E257" s="34"/>
      <c r="F257" s="74">
        <v>306.81</v>
      </c>
      <c r="G257" s="119"/>
    </row>
    <row r="258" spans="2:7">
      <c r="B258" s="158">
        <v>3221</v>
      </c>
      <c r="C258" s="45" t="s">
        <v>144</v>
      </c>
      <c r="D258" s="45"/>
      <c r="E258" s="34"/>
      <c r="F258" s="74">
        <v>207.19</v>
      </c>
      <c r="G258" s="118"/>
    </row>
    <row r="259" spans="2:7">
      <c r="B259" s="158">
        <v>3299</v>
      </c>
      <c r="C259" s="45" t="s">
        <v>75</v>
      </c>
      <c r="D259" s="45"/>
      <c r="E259" s="34">
        <v>1212.96</v>
      </c>
      <c r="F259" s="34">
        <v>573.53</v>
      </c>
      <c r="G259" s="119">
        <f>F259/E259*100</f>
        <v>47.283504814668248</v>
      </c>
    </row>
    <row r="260" spans="2:7">
      <c r="B260" s="159" t="s">
        <v>115</v>
      </c>
      <c r="C260" s="167"/>
      <c r="D260" s="167"/>
      <c r="E260" s="38">
        <v>1212.96</v>
      </c>
      <c r="F260" s="38">
        <f>SUM(F257:F259)</f>
        <v>1087.53</v>
      </c>
      <c r="G260" s="118">
        <f>F260/E260*100</f>
        <v>89.659180846853971</v>
      </c>
    </row>
    <row r="261" spans="2:7">
      <c r="B261" s="161"/>
      <c r="C261" s="173"/>
      <c r="D261" s="173"/>
      <c r="E261" s="36"/>
      <c r="F261" s="36"/>
      <c r="G261" s="162"/>
    </row>
    <row r="262" spans="2:7">
      <c r="B262" s="161" t="s">
        <v>184</v>
      </c>
      <c r="C262" s="29"/>
      <c r="D262" s="29"/>
      <c r="E262" s="36"/>
      <c r="F262" s="36"/>
      <c r="G262" s="162"/>
    </row>
    <row r="263" spans="2:7" ht="42.75">
      <c r="B263" s="146" t="s">
        <v>104</v>
      </c>
      <c r="C263" s="147" t="s">
        <v>105</v>
      </c>
      <c r="D263" s="148" t="s">
        <v>182</v>
      </c>
      <c r="E263" s="149" t="s">
        <v>183</v>
      </c>
      <c r="F263" s="149" t="s">
        <v>141</v>
      </c>
      <c r="G263" s="150" t="s">
        <v>201</v>
      </c>
    </row>
    <row r="264" spans="2:7">
      <c r="B264" s="170">
        <v>1</v>
      </c>
      <c r="C264" s="171">
        <v>2</v>
      </c>
      <c r="D264" s="171">
        <v>3</v>
      </c>
      <c r="E264" s="172">
        <v>4</v>
      </c>
      <c r="F264" s="172">
        <v>5</v>
      </c>
      <c r="G264" s="152">
        <v>6</v>
      </c>
    </row>
    <row r="265" spans="2:7">
      <c r="B265" s="158">
        <v>3722</v>
      </c>
      <c r="C265" s="166" t="s">
        <v>207</v>
      </c>
      <c r="D265" s="166"/>
      <c r="E265" s="34">
        <v>20000</v>
      </c>
      <c r="F265" s="34">
        <v>14401.12</v>
      </c>
      <c r="G265" s="119">
        <f>F265/E265*100</f>
        <v>72.005600000000001</v>
      </c>
    </row>
    <row r="266" spans="2:7">
      <c r="B266" s="159" t="s">
        <v>115</v>
      </c>
      <c r="C266" s="167"/>
      <c r="D266" s="167"/>
      <c r="E266" s="38">
        <v>20000</v>
      </c>
      <c r="F266" s="38">
        <v>14401.12</v>
      </c>
      <c r="G266" s="118">
        <f>F266/E266*100</f>
        <v>72.005600000000001</v>
      </c>
    </row>
    <row r="267" spans="2:7">
      <c r="B267" s="161"/>
      <c r="C267" s="173"/>
      <c r="D267" s="173"/>
      <c r="E267" s="36"/>
      <c r="F267" s="36"/>
      <c r="G267" s="162"/>
    </row>
    <row r="268" spans="2:7">
      <c r="B268" s="161"/>
      <c r="C268" s="173"/>
      <c r="D268" s="173"/>
      <c r="E268" s="36"/>
      <c r="F268" s="36"/>
      <c r="G268" s="162"/>
    </row>
    <row r="269" spans="2:7">
      <c r="B269" s="161" t="s">
        <v>148</v>
      </c>
      <c r="C269" s="29"/>
      <c r="D269" s="29"/>
      <c r="E269" s="36"/>
      <c r="F269" s="36"/>
      <c r="G269" s="162"/>
    </row>
    <row r="270" spans="2:7" ht="42.75">
      <c r="B270" s="146" t="s">
        <v>104</v>
      </c>
      <c r="C270" s="147" t="s">
        <v>105</v>
      </c>
      <c r="D270" s="148" t="s">
        <v>182</v>
      </c>
      <c r="E270" s="149" t="s">
        <v>183</v>
      </c>
      <c r="F270" s="149" t="s">
        <v>141</v>
      </c>
      <c r="G270" s="150" t="s">
        <v>201</v>
      </c>
    </row>
    <row r="271" spans="2:7">
      <c r="B271" s="170">
        <v>1</v>
      </c>
      <c r="C271" s="171">
        <v>2</v>
      </c>
      <c r="D271" s="171">
        <v>3</v>
      </c>
      <c r="E271" s="172">
        <v>4</v>
      </c>
      <c r="F271" s="172">
        <v>5</v>
      </c>
      <c r="G271" s="152">
        <v>6</v>
      </c>
    </row>
    <row r="272" spans="2:7">
      <c r="B272" s="158">
        <v>3299</v>
      </c>
      <c r="C272" s="166" t="s">
        <v>75</v>
      </c>
      <c r="D272" s="166">
        <v>52.38</v>
      </c>
      <c r="E272" s="34">
        <v>54.49</v>
      </c>
      <c r="F272" s="34">
        <v>54.49</v>
      </c>
      <c r="G272" s="119">
        <f>F272/E272*100</f>
        <v>100</v>
      </c>
    </row>
    <row r="273" spans="2:7">
      <c r="B273" s="158">
        <v>3111</v>
      </c>
      <c r="C273" s="166" t="s">
        <v>22</v>
      </c>
      <c r="D273" s="166">
        <v>177.28</v>
      </c>
      <c r="E273" s="34"/>
      <c r="F273" s="34"/>
      <c r="G273" s="119"/>
    </row>
    <row r="274" spans="2:7">
      <c r="B274" s="159" t="s">
        <v>115</v>
      </c>
      <c r="C274" s="167"/>
      <c r="D274" s="167">
        <f>D273+D272</f>
        <v>229.66</v>
      </c>
      <c r="E274" s="38">
        <v>54.49</v>
      </c>
      <c r="F274" s="38">
        <v>54.49</v>
      </c>
      <c r="G274" s="118">
        <f>F274/E274*100</f>
        <v>100</v>
      </c>
    </row>
    <row r="275" spans="2:7">
      <c r="B275" s="161"/>
      <c r="C275" s="173"/>
      <c r="D275" s="173"/>
      <c r="E275" s="36"/>
      <c r="F275" s="36"/>
      <c r="G275" s="162"/>
    </row>
    <row r="276" spans="2:7">
      <c r="B276" s="161"/>
      <c r="C276" s="173"/>
      <c r="D276" s="173"/>
      <c r="E276" s="36"/>
      <c r="F276" s="36"/>
      <c r="G276" s="162"/>
    </row>
    <row r="277" spans="2:7">
      <c r="B277" s="186" t="s">
        <v>181</v>
      </c>
      <c r="C277" s="35"/>
      <c r="D277" s="35"/>
      <c r="E277" s="187"/>
      <c r="F277" s="187"/>
      <c r="G277" s="188"/>
    </row>
    <row r="278" spans="2:7" ht="42.75">
      <c r="B278" s="189" t="s">
        <v>104</v>
      </c>
      <c r="C278" s="190" t="s">
        <v>105</v>
      </c>
      <c r="D278" s="204" t="s">
        <v>182</v>
      </c>
      <c r="E278" s="191" t="s">
        <v>183</v>
      </c>
      <c r="F278" s="191" t="s">
        <v>141</v>
      </c>
      <c r="G278" s="192" t="s">
        <v>201</v>
      </c>
    </row>
    <row r="279" spans="2:7">
      <c r="B279" s="170">
        <v>1</v>
      </c>
      <c r="C279" s="171">
        <v>2</v>
      </c>
      <c r="D279" s="171">
        <v>3</v>
      </c>
      <c r="E279" s="172">
        <v>4</v>
      </c>
      <c r="F279" s="172">
        <v>5</v>
      </c>
      <c r="G279" s="152">
        <v>6</v>
      </c>
    </row>
    <row r="280" spans="2:7">
      <c r="B280" s="193">
        <v>4222</v>
      </c>
      <c r="C280" s="194" t="s">
        <v>85</v>
      </c>
      <c r="D280" s="194"/>
      <c r="E280" s="195"/>
      <c r="F280" s="202">
        <v>495.95</v>
      </c>
      <c r="G280" s="196"/>
    </row>
    <row r="281" spans="2:7">
      <c r="B281" s="193">
        <v>4241</v>
      </c>
      <c r="C281" s="194" t="s">
        <v>173</v>
      </c>
      <c r="D281" s="194"/>
      <c r="E281" s="195"/>
      <c r="F281" s="202">
        <v>30</v>
      </c>
      <c r="G281" s="196"/>
    </row>
    <row r="282" spans="2:7">
      <c r="B282" s="197" t="s">
        <v>115</v>
      </c>
      <c r="C282" s="198"/>
      <c r="D282" s="198"/>
      <c r="E282" s="199">
        <f t="shared" ref="E282" si="8">SUM(E263)</f>
        <v>0</v>
      </c>
      <c r="F282" s="203">
        <f>F281+F280</f>
        <v>525.95000000000005</v>
      </c>
      <c r="G282" s="200">
        <f t="shared" ref="G282" si="9">SUM(G263)</f>
        <v>0</v>
      </c>
    </row>
    <row r="283" spans="2:7">
      <c r="B283" s="29"/>
      <c r="C283" s="29"/>
      <c r="D283" s="29"/>
      <c r="E283" s="29"/>
      <c r="F283" s="29"/>
      <c r="G283" s="30"/>
    </row>
    <row r="284" spans="2:7" ht="15.75" thickBot="1">
      <c r="B284" s="137" t="s">
        <v>203</v>
      </c>
      <c r="C284" s="137"/>
      <c r="D284" s="138">
        <f>D244+D231+D192+D185+D163+D130+D120+D113+D28+D274</f>
        <v>755062.70000000007</v>
      </c>
      <c r="E284" s="138">
        <f>E274+E266+E260+E251+E244+E231+E218+E209+E199+E192+E185+E172+E163+E154+E145+E138+E130+E120+E113+E103+E94+E84+E75+E63+E53+E35+E28</f>
        <v>963312.24</v>
      </c>
      <c r="F284" s="138">
        <f>F282+F274+F266+F260+F251+F244+F231+F218+F209+F192+F185+F172+F163+F154+F138+F130+F113+F103+F94+F84+F75+F63+F53+F35+F28</f>
        <v>844988.98</v>
      </c>
      <c r="G284" s="138">
        <f>F284/E284*100</f>
        <v>87.717039700440225</v>
      </c>
    </row>
    <row r="285" spans="2:7" ht="15.75" thickTop="1">
      <c r="B285" s="29"/>
      <c r="C285" s="29"/>
      <c r="D285" s="29"/>
      <c r="E285" s="29"/>
      <c r="F285" s="36"/>
      <c r="G285" s="30"/>
    </row>
    <row r="286" spans="2:7">
      <c r="B286" s="29"/>
      <c r="C286" s="29"/>
      <c r="D286" s="29"/>
      <c r="E286" s="29"/>
      <c r="F286" s="29"/>
      <c r="G286" s="30"/>
    </row>
    <row r="288" spans="2:7">
      <c r="E288" s="32"/>
      <c r="F288" s="32"/>
      <c r="G288" s="33"/>
    </row>
  </sheetData>
  <mergeCells count="20">
    <mergeCell ref="B235:G235"/>
    <mergeCell ref="B167:G167"/>
    <mergeCell ref="B176:G176"/>
    <mergeCell ref="B203:G203"/>
    <mergeCell ref="B213:G213"/>
    <mergeCell ref="B222:G222"/>
    <mergeCell ref="B107:G107"/>
    <mergeCell ref="B124:G124"/>
    <mergeCell ref="B149:G149"/>
    <mergeCell ref="B158:G158"/>
    <mergeCell ref="B57:G57"/>
    <mergeCell ref="B67:G67"/>
    <mergeCell ref="B79:G79"/>
    <mergeCell ref="B88:G88"/>
    <mergeCell ref="B98:G98"/>
    <mergeCell ref="B1:G1"/>
    <mergeCell ref="B5:C5"/>
    <mergeCell ref="B31:C31"/>
    <mergeCell ref="B2:C2"/>
    <mergeCell ref="B4:G4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SAŽETAK</vt:lpstr>
      <vt:lpstr> Račun prihoda i rashoda-ekon.k</vt:lpstr>
      <vt:lpstr>Rashodi prema izvorima finan</vt:lpstr>
      <vt:lpstr>POSEBNI DIO-ekon.kl.i izvori</vt:lpstr>
      <vt:lpstr>' Račun prihoda i rashoda-ekon.k'!Print_Area</vt:lpstr>
      <vt:lpstr>'POSEBNI DIO-ekon.kl.i izvori'!Print_Area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User10</cp:lastModifiedBy>
  <cp:lastPrinted>2024-02-16T08:08:14Z</cp:lastPrinted>
  <dcterms:created xsi:type="dcterms:W3CDTF">2022-08-12T12:51:27Z</dcterms:created>
  <dcterms:modified xsi:type="dcterms:W3CDTF">2024-03-14T10:30:02Z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